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 workbookPassword="8610" lockStructure="1"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Staff" sheetId="2" state="visible" r:id="rId2"/>
    <sheet xmlns:r="http://schemas.openxmlformats.org/officeDocument/2006/relationships" name="Units" sheetId="3" state="visible" r:id="rId3"/>
    <sheet xmlns:r="http://schemas.openxmlformats.org/officeDocument/2006/relationships" name="Rules" sheetId="4" state="visible" r:id="rId4"/>
    <sheet xmlns:r="http://schemas.openxmlformats.org/officeDocument/2006/relationships" name="Shifts" sheetId="5" state="visible" r:id="rId5"/>
    <sheet xmlns:r="http://schemas.openxmlformats.org/officeDocument/2006/relationships" name="Census" sheetId="6" state="visible" r:id="rId6"/>
    <sheet xmlns:r="http://schemas.openxmlformats.org/officeDocument/2006/relationships" name="Holidays" sheetId="7" state="visible" r:id="rId7"/>
    <sheet xmlns:r="http://schemas.openxmlformats.org/officeDocument/2006/relationships" name="Leave" sheetId="8" state="visible" r:id="rId8"/>
    <sheet xmlns:r="http://schemas.openxmlformats.org/officeDocument/2006/relationships" name="Schedule" sheetId="9" state="visible" r:id="rId9"/>
    <sheet xmlns:r="http://schemas.openxmlformats.org/officeDocument/2006/relationships" name="Beyond this template" sheetId="10" state="visible" r:id="rId10"/>
  </sheets>
  <definedNames>
    <definedName name="Units_Tbl">Units!$A$2:$E$4</definedName>
    <definedName name="ShiftCode">Shifts!$A$2:$A$14</definedName>
    <definedName name="ShiftHours">Shifts!$D$2:$D$14</definedName>
    <definedName name="ShiftFull">Shifts!$A$2:$F$14</definedName>
    <definedName name="DayCodes">Shifts!$A$2:$A$5</definedName>
    <definedName name="NightCodes">Shifts!$A$6:$A$8</definedName>
    <definedName name="OffCodes">Shifts!$A$9:$A$12</definedName>
    <definedName name="StaffTbl">Staff!$A$2:$B$31</definedName>
    <definedName name="OT_Threshold">Rules!$B$2</definedName>
    <definedName name="Rest_Hours">Rules!$B$3</definedName>
    <definedName name="Max_Consecutive">Rules!$B$4</definedName>
    <definedName name="Shift_Basis">Rules!$B$5</definedName>
    <definedName name="UnitList">Units!$A$2:$A$4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ddd mm/dd"/>
    <numFmt numFmtId="165" formatCode="yyyy-mm-dd"/>
  </numFmts>
  <fonts count="11">
    <font>
      <name val="Calibri"/>
      <family val="2"/>
      <color theme="1"/>
      <sz val="11"/>
      <scheme val="minor"/>
    </font>
    <font>
      <name val="Georgia"/>
      <b val="1"/>
      <color rgb="001A2332"/>
      <sz val="20"/>
    </font>
    <font>
      <i val="1"/>
      <color rgb="00555555"/>
      <sz val="10"/>
    </font>
    <font>
      <b val="1"/>
      <color rgb="001A2332"/>
      <sz val="11"/>
    </font>
    <font>
      <b val="1"/>
      <color rgb="002D5A4A"/>
      <sz val="11"/>
    </font>
    <font>
      <name val="Calibri"/>
      <b val="1"/>
      <color rgb="00FFFFFF"/>
      <sz val="11"/>
    </font>
    <font>
      <b val="1"/>
      <color rgb="002D5A4A"/>
      <sz val="10"/>
    </font>
    <font>
      <b val="1"/>
      <color rgb="00B00000"/>
    </font>
    <font>
      <b val="1"/>
      <color rgb="001A2332"/>
    </font>
    <font>
      <b val="1"/>
      <color rgb="001A2332"/>
      <sz val="16"/>
    </font>
    <font>
      <b val="1"/>
      <color rgb="002D5A4A"/>
    </font>
  </fonts>
  <fills count="5">
    <fill>
      <patternFill/>
    </fill>
    <fill>
      <patternFill patternType="gray125"/>
    </fill>
    <fill>
      <patternFill patternType="solid">
        <fgColor rgb="002D5A4A"/>
      </patternFill>
    </fill>
    <fill>
      <patternFill patternType="solid">
        <fgColor rgb="00FFF7E6"/>
      </patternFill>
    </fill>
    <fill>
      <patternFill patternType="solid">
        <fgColor rgb="00EEF2F0"/>
      </patternFill>
    </fill>
  </fills>
  <borders count="2">
    <border>
      <left/>
      <right/>
      <top/>
      <bottom/>
      <diagonal/>
    </border>
    <border>
      <left style="thin">
        <color rgb="00C8D2CE"/>
      </left>
      <right style="thin">
        <color rgb="00C8D2CE"/>
      </right>
      <top style="thin">
        <color rgb="00C8D2CE"/>
      </top>
      <bottom style="thin">
        <color rgb="00C8D2CE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2" borderId="1" applyAlignment="1" pivotButton="0" quotePrefix="0" xfId="0">
      <alignment horizontal="center" vertical="center" wrapText="1"/>
    </xf>
    <xf numFmtId="0" fontId="6" fillId="0" borderId="0" pivotButton="0" quotePrefix="0" xfId="0"/>
    <xf numFmtId="0" fontId="0" fillId="0" borderId="1" applyAlignment="1" applyProtection="1" pivotButton="0" quotePrefix="0" xfId="0">
      <alignment horizontal="left" vertical="center" wrapText="1"/>
      <protection locked="0" hidden="0"/>
    </xf>
    <xf numFmtId="0" fontId="0" fillId="0" borderId="1" applyAlignment="1" applyProtection="1" pivotButton="0" quotePrefix="0" xfId="0">
      <alignment horizontal="center" vertical="center" wrapText="1"/>
      <protection locked="0" hidden="0"/>
    </xf>
    <xf numFmtId="0" fontId="0" fillId="0" borderId="0" applyProtection="1" pivotButton="0" quotePrefix="0" xfId="0">
      <protection locked="0" hidden="0"/>
    </xf>
    <xf numFmtId="0" fontId="2" fillId="0" borderId="0" pivotButton="0" quotePrefix="0" xfId="0"/>
    <xf numFmtId="0" fontId="0" fillId="3" borderId="1" applyAlignment="1" applyProtection="1" pivotButton="0" quotePrefix="0" xfId="0">
      <alignment horizontal="center" vertical="center" wrapText="1"/>
      <protection locked="0" hidden="0"/>
    </xf>
    <xf numFmtId="0" fontId="0" fillId="0" borderId="1" pivotButton="0" quotePrefix="0" xfId="0"/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4" fontId="5" fillId="2" borderId="1" applyAlignment="1" pivotButton="0" quotePrefix="0" xfId="0">
      <alignment horizontal="center" vertical="center" wrapText="1"/>
    </xf>
    <xf numFmtId="165" fontId="0" fillId="3" borderId="1" applyProtection="1" pivotButton="0" quotePrefix="0" xfId="0">
      <protection locked="0" hidden="0"/>
    </xf>
    <xf numFmtId="0" fontId="0" fillId="3" borderId="1" applyProtection="1" pivotButton="0" quotePrefix="0" xfId="0">
      <protection locked="0" hidden="0"/>
    </xf>
    <xf numFmtId="0" fontId="0" fillId="0" borderId="1" applyProtection="1" pivotButton="0" quotePrefix="0" xfId="0">
      <protection locked="0" hidden="0"/>
    </xf>
    <xf numFmtId="0" fontId="3" fillId="0" borderId="0" pivotButton="0" quotePrefix="0" xfId="0"/>
    <xf numFmtId="165" fontId="0" fillId="3" borderId="1" applyAlignment="1" applyProtection="1" pivotButton="0" quotePrefix="0" xfId="0">
      <alignment horizontal="center" vertical="center" wrapText="1"/>
      <protection locked="0" hidden="0"/>
    </xf>
    <xf numFmtId="164" fontId="3" fillId="4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dxfs count="5">
    <dxf>
      <fill>
        <patternFill>
          <bgColor rgb="00FFF3D6"/>
        </patternFill>
      </fill>
    </dxf>
    <dxf>
      <fill>
        <patternFill>
          <bgColor rgb="00DDE3F0"/>
        </patternFill>
      </fill>
    </dxf>
    <dxf>
      <fill>
        <patternFill>
          <bgColor rgb="00EFEFEC"/>
        </patternFill>
      </fill>
    </dxf>
    <dxf>
      <fill>
        <patternFill>
          <bgColor rgb="00F8D7DA"/>
        </patternFill>
      </fill>
    </dxf>
    <dxf>
      <font>
        <b val="1"/>
        <color rgb="00B0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</row>
      <rowOff>0</rowOff>
    </from>
    <ext cx="2857500" cy="5048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1</col>
      <colOff>0</colOff>
      <row>9</row>
      <rowOff>0</rowOff>
    </from>
    <ext cx="2286000" cy="4000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10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tabColor rgb="001A2332"/>
    <outlinePr summaryBelow="1" summaryRight="1"/>
    <pageSetUpPr/>
  </sheetPr>
  <dimension ref="B8:B3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4" customWidth="1" min="2" max="2"/>
  </cols>
  <sheetData>
    <row r="8">
      <c r="B8" s="1" t="inlineStr">
        <is>
          <t>Nurse Schedule Template</t>
        </is>
      </c>
    </row>
    <row r="9">
      <c r="B9" s="2" t="inlineStr">
        <is>
          <t>A free weekly nurse-scheduling worksheet for a single small-hospital unit.  Built by SimpleScheduleAI.</t>
        </is>
      </c>
    </row>
    <row r="11">
      <c r="B11" s="3" t="inlineStr">
        <is>
          <t>WHAT THIS DOES</t>
        </is>
      </c>
    </row>
    <row r="12">
      <c r="B12" s="4" t="inlineStr">
        <is>
          <t>You enter your staff, your unit's staffing rules, and each day's patient census. The template calculates how many nurses each shift needs, gives you a clean weekly grid to assign shifts, and then flags overtime and coverage gaps for you automatically.</t>
        </is>
      </c>
    </row>
    <row r="14">
      <c r="B14" s="3" t="inlineStr">
        <is>
          <t>INPUTS: the tabs you fill in (orange cells)</t>
        </is>
      </c>
    </row>
    <row r="15">
      <c r="B15" s="4" t="inlineStr">
        <is>
          <t xml:space="preserve">    •  Staff:  Your roster: name, role (RN/LPN/CNA), FTE, and skill flags.</t>
        </is>
      </c>
    </row>
    <row r="16">
      <c r="B16" s="4" t="inlineStr">
        <is>
          <t xml:space="preserve">    •  Units:  Each unit's HPPD (nursing hours per patient day), day/night split, and the share of staff that must be RN.</t>
        </is>
      </c>
    </row>
    <row r="17">
      <c r="B17" s="4" t="inlineStr">
        <is>
          <t xml:space="preserve">    •  Rules:  Your overtime threshold (weekly hours), rest hours, and the shift length the requirement math assumes.</t>
        </is>
      </c>
    </row>
    <row r="18">
      <c r="B18" s="4" t="inlineStr">
        <is>
          <t xml:space="preserve">    •  Census:  The patient census for each unit, for each of the 7 days.</t>
        </is>
      </c>
    </row>
    <row r="19">
      <c r="B19" s="4" t="inlineStr">
        <is>
          <t xml:space="preserve">    •  Holidays / Leave:  Public holidays, and any approved PTO / sick / vacation for the week.</t>
        </is>
      </c>
    </row>
    <row r="21">
      <c r="B21" s="3" t="inlineStr">
        <is>
          <t>OUTPUTS: what the template gives you back (on the Schedule tab)</t>
        </is>
      </c>
    </row>
    <row r="22">
      <c r="B22" s="4" t="inlineStr">
        <is>
          <t xml:space="preserve">    •  Required staff per day &amp; night:  Calculated from census x HPPD x RN ratio, so you know the target before you assign.</t>
        </is>
      </c>
    </row>
    <row r="23">
      <c r="B23" s="4" t="inlineStr">
        <is>
          <t xml:space="preserve">    •  A weekly assignment grid:  Pick a shift code per nurse per day from the dropdown.</t>
        </is>
      </c>
    </row>
    <row r="24">
      <c r="B24" s="4" t="inlineStr">
        <is>
          <t xml:space="preserve">    •  Weekly hours + overtime flag:  Each nurse's total hours for the week, flagged OVER when they cross your threshold.</t>
        </is>
      </c>
    </row>
    <row r="25">
      <c r="B25" s="4" t="inlineStr">
        <is>
          <t xml:space="preserve">    •  Coverage gap check:  Assigned RNs vs required RNs each day/night. A positive gap (red) means you are short.</t>
        </is>
      </c>
    </row>
    <row r="26">
      <c r="B26" s="4" t="inlineStr">
        <is>
          <t xml:space="preserve">    •  Consecutive-days flag:  Longest run of worked days; OVER when it passes your Max_Consecutive_Days rule.</t>
        </is>
      </c>
    </row>
    <row r="27">
      <c r="B27" s="3" t="inlineStr">
        <is>
          <t>HOW TO USE IT (5 steps)</t>
        </is>
      </c>
    </row>
    <row r="28">
      <c r="B28" s="4" t="inlineStr">
        <is>
          <t xml:space="preserve">    1.  Fill the Staff, Units and Rules tabs with your own values (sample data is provided so you can see the shape).</t>
        </is>
      </c>
    </row>
    <row r="29">
      <c r="B29" s="4" t="inlineStr">
        <is>
          <t xml:space="preserve">    2.  On the Schedule tab, choose your Unit and set the Week start date (a Monday).</t>
        </is>
      </c>
    </row>
    <row r="30">
      <c r="B30" s="4" t="inlineStr">
        <is>
          <t xml:space="preserve">    3.  Enter that week's daily census on the Census tab.</t>
        </is>
      </c>
    </row>
    <row r="31">
      <c r="B31" s="4" t="inlineStr">
        <is>
          <t xml:space="preserve">    4.  Assign a shift code to each nurse for each day using the dropdowns. Watch the Required rows at the top.</t>
        </is>
      </c>
    </row>
    <row r="32">
      <c r="B32" s="2" t="inlineStr">
        <is>
          <t>First open: Excel shows downloaded files in Protected View, where formulas display as blank cells. Click Enable Editing at the top and everything (names, dates, checks) fills in.</t>
        </is>
      </c>
    </row>
    <row r="33">
      <c r="B33" s="2" t="inlineStr">
        <is>
          <t>Notes: names on the Leave tab must match the Staff tab exactly. The roster holds up to 30 staff; add them on the Staff tab and they appear on the Schedule automatically. Need more than 30, or a version adapted to your hospital? Write to hello@simplescheduleai.com. Consecutive-days and rest checks look at the displayed week only; they cannot see last week's shifts.</t>
        </is>
      </c>
    </row>
    <row r="35">
      <c r="B35" s="3" t="inlineStr">
        <is>
          <t>WHAT THIS TEMPLATE DOES NOT DO</t>
        </is>
      </c>
    </row>
    <row r="36">
      <c r="B36" s="4" t="inlineStr">
        <is>
          <t>It will not build the schedule for you, match skills to shifts, balance weekend/holiday fairness, or find a qualified replacement when someone calls out. Those need automation beyond a spreadsheet. See the 'Beyond this template' tab. That is the work SimpleScheduleAI does as a service.</t>
        </is>
      </c>
    </row>
    <row r="38">
      <c r="B38" s="2" t="inlineStr">
        <is>
          <t>Not medical, legal, or compliance advice. Verify all figures against your own hospital policy and applicable law.</t>
        </is>
      </c>
    </row>
    <row r="39">
      <c r="B39" s="5" t="inlineStr">
        <is>
          <t>SimpleScheduleAI    ·    simplescheduleai.com</t>
        </is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1" formatRows="0" sort="1" password="8610"/>
  <pageMargins left="0.75" right="0.75" top="1" bottom="1" header="0.5" footer="0.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tabColor rgb="001A2332"/>
    <outlinePr summaryBelow="1" summaryRight="1"/>
    <pageSetUpPr/>
  </sheetPr>
  <dimension ref="B2:B1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0" customWidth="1" min="2" max="2"/>
  </cols>
  <sheetData>
    <row r="2">
      <c r="B2" s="27" t="inlineStr">
        <is>
          <t>Beyond this template</t>
        </is>
      </c>
    </row>
    <row r="3">
      <c r="B3" s="11" t="inlineStr">
        <is>
          <t>A spreadsheet can hold the inputs and do the math. It cannot make the judgment calls below. That is where an operated scheduling service takes over.</t>
        </is>
      </c>
    </row>
    <row r="5">
      <c r="B5" s="4" t="inlineStr">
        <is>
          <t>•  Skill requirement per shift, and skill mapping per nurse (e.g. Vent / Chemo / Dialysis coverage guaranteed every shift).</t>
        </is>
      </c>
    </row>
    <row r="6">
      <c r="B6" s="4" t="inlineStr">
        <is>
          <t>•  Weekend and holiday fairness tracked across weeks, not just the current one.</t>
        </is>
      </c>
    </row>
    <row r="7">
      <c r="B7" s="4" t="inlineStr">
        <is>
          <t>•  Preventing rest-hour and consecutive-day violations while the schedule is being built, and remembering them across weeks (this template only flags them within one week, after you assign).</t>
        </is>
      </c>
    </row>
    <row r="8">
      <c r="B8" s="4" t="inlineStr">
        <is>
          <t>•  Finding a qualified, non-overtime replacement in minutes when a nurse calls out.</t>
        </is>
      </c>
    </row>
    <row r="9">
      <c r="B9" s="4" t="inlineStr">
        <is>
          <t>•  Float-pool levels (home-unit-only vs cross-trained) and hard blocks for critical-care units.</t>
        </is>
      </c>
    </row>
    <row r="10">
      <c r="B10" s="4" t="inlineStr">
        <is>
          <t>•  Auto-migrating holidays, vacation and census from a database instead of manual entry.</t>
        </is>
      </c>
    </row>
    <row r="12">
      <c r="B12" s="28" t="inlineStr">
        <is>
          <t>SimpleScheduleAI does these automatically, then hands the finished schedule to your manager to approve. See how it works at simplescheduleai.com.</t>
        </is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1" formatRows="0" sort="1" password="8610"/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7BAF9B"/>
    <outlinePr summaryBelow="1" summaryRight="1"/>
    <pageSetUpPr/>
  </sheetPr>
  <dimension ref="A1:K34"/>
  <sheetViews>
    <sheetView workbookViewId="0">
      <selection activeCell="A1" sqref="A1"/>
    </sheetView>
  </sheetViews>
  <sheetFormatPr baseColWidth="8" defaultRowHeight="15"/>
  <cols>
    <col width="22" customWidth="1" min="1" max="1"/>
    <col width="8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</cols>
  <sheetData>
    <row r="1">
      <c r="A1" s="6" t="inlineStr">
        <is>
          <t>Employee Name</t>
        </is>
      </c>
      <c r="B1" s="6" t="inlineStr">
        <is>
          <t>Role</t>
        </is>
      </c>
      <c r="C1" s="6" t="inlineStr">
        <is>
          <t>FTE</t>
        </is>
      </c>
      <c r="D1" s="6" t="inlineStr">
        <is>
          <t>Vent</t>
        </is>
      </c>
      <c r="E1" s="6" t="inlineStr">
        <is>
          <t>Chemo</t>
        </is>
      </c>
      <c r="F1" s="6" t="inlineStr">
        <is>
          <t>Wound_Vac</t>
        </is>
      </c>
      <c r="G1" s="6" t="inlineStr">
        <is>
          <t>Dialysis</t>
        </is>
      </c>
      <c r="H1" s="6" t="inlineStr">
        <is>
          <t>Neonatal</t>
        </is>
      </c>
      <c r="I1" s="6" t="inlineStr">
        <is>
          <t>OR</t>
        </is>
      </c>
      <c r="K1" s="7" t="inlineStr">
        <is>
          <t>SimpleScheduleAI · simplescheduleai.com</t>
        </is>
      </c>
    </row>
    <row r="2">
      <c r="A2" s="8" t="inlineStr">
        <is>
          <t>Smith, John</t>
        </is>
      </c>
      <c r="B2" s="9" t="inlineStr">
        <is>
          <t>RN</t>
        </is>
      </c>
      <c r="C2" s="9" t="n">
        <v>1</v>
      </c>
      <c r="D2" s="9" t="n">
        <v>1</v>
      </c>
      <c r="E2" s="9" t="n">
        <v>1</v>
      </c>
      <c r="F2" s="9" t="n">
        <v>1</v>
      </c>
      <c r="G2" s="9" t="n">
        <v>1</v>
      </c>
      <c r="H2" s="9" t="n">
        <v>1</v>
      </c>
      <c r="I2" s="9" t="n">
        <v>0</v>
      </c>
    </row>
    <row r="3">
      <c r="A3" s="8" t="inlineStr">
        <is>
          <t>Johnson, Emily</t>
        </is>
      </c>
      <c r="B3" s="9" t="inlineStr">
        <is>
          <t>RN</t>
        </is>
      </c>
      <c r="C3" s="9" t="n">
        <v>1</v>
      </c>
      <c r="D3" s="9" t="n">
        <v>1</v>
      </c>
      <c r="E3" s="9" t="n">
        <v>1</v>
      </c>
      <c r="F3" s="9" t="n">
        <v>1</v>
      </c>
      <c r="G3" s="9" t="n">
        <v>1</v>
      </c>
      <c r="H3" s="9" t="n">
        <v>0</v>
      </c>
      <c r="I3" s="9" t="n">
        <v>0</v>
      </c>
    </row>
    <row r="4">
      <c r="A4" s="8" t="inlineStr">
        <is>
          <t>Williams, Michael</t>
        </is>
      </c>
      <c r="B4" s="9" t="inlineStr">
        <is>
          <t>LPN</t>
        </is>
      </c>
      <c r="C4" s="9" t="n">
        <v>1</v>
      </c>
      <c r="D4" s="9" t="n">
        <v>0</v>
      </c>
      <c r="E4" s="9" t="n">
        <v>0</v>
      </c>
      <c r="F4" s="9" t="n">
        <v>0</v>
      </c>
      <c r="G4" s="9" t="n">
        <v>0</v>
      </c>
      <c r="H4" s="9" t="n">
        <v>0</v>
      </c>
      <c r="I4" s="9" t="n">
        <v>0</v>
      </c>
    </row>
    <row r="5">
      <c r="A5" s="8" t="inlineStr">
        <is>
          <t>Brown, Jessica</t>
        </is>
      </c>
      <c r="B5" s="9" t="inlineStr">
        <is>
          <t>CNA</t>
        </is>
      </c>
      <c r="C5" s="9" t="n">
        <v>1</v>
      </c>
      <c r="D5" s="9" t="n">
        <v>0</v>
      </c>
      <c r="E5" s="9" t="n">
        <v>0</v>
      </c>
      <c r="F5" s="9" t="n">
        <v>0</v>
      </c>
      <c r="G5" s="9" t="n">
        <v>0</v>
      </c>
      <c r="H5" s="9" t="n">
        <v>0</v>
      </c>
      <c r="I5" s="9" t="n">
        <v>0</v>
      </c>
    </row>
    <row r="6">
      <c r="A6" s="8" t="inlineStr">
        <is>
          <t>Jones, David</t>
        </is>
      </c>
      <c r="B6" s="9" t="inlineStr">
        <is>
          <t>RN</t>
        </is>
      </c>
      <c r="C6" s="9" t="n">
        <v>1</v>
      </c>
      <c r="D6" s="9" t="n">
        <v>1</v>
      </c>
      <c r="E6" s="9" t="n">
        <v>1</v>
      </c>
      <c r="F6" s="9" t="n">
        <v>1</v>
      </c>
      <c r="G6" s="9" t="n">
        <v>1</v>
      </c>
      <c r="H6" s="9" t="n">
        <v>1</v>
      </c>
      <c r="I6" s="9" t="n">
        <v>1</v>
      </c>
    </row>
    <row r="7">
      <c r="A7" s="8" t="inlineStr">
        <is>
          <t>Garcia, Sarah</t>
        </is>
      </c>
      <c r="B7" s="9" t="inlineStr">
        <is>
          <t>RN</t>
        </is>
      </c>
      <c r="C7" s="9" t="n">
        <v>1</v>
      </c>
      <c r="D7" s="9" t="n">
        <v>0</v>
      </c>
      <c r="E7" s="9" t="n">
        <v>0</v>
      </c>
      <c r="F7" s="9" t="n">
        <v>0</v>
      </c>
      <c r="G7" s="9" t="n">
        <v>0</v>
      </c>
      <c r="H7" s="9" t="n">
        <v>0</v>
      </c>
      <c r="I7" s="9" t="n">
        <v>0</v>
      </c>
    </row>
    <row r="8">
      <c r="A8" s="8" t="inlineStr">
        <is>
          <t>Miller, Chris</t>
        </is>
      </c>
      <c r="B8" s="9" t="inlineStr">
        <is>
          <t>RN</t>
        </is>
      </c>
      <c r="C8" s="9" t="n">
        <v>1</v>
      </c>
      <c r="D8" s="9" t="n">
        <v>0</v>
      </c>
      <c r="E8" s="9" t="n">
        <v>0</v>
      </c>
      <c r="F8" s="9" t="n">
        <v>0</v>
      </c>
      <c r="G8" s="9" t="n">
        <v>0</v>
      </c>
      <c r="H8" s="9" t="n">
        <v>0</v>
      </c>
      <c r="I8" s="9" t="n">
        <v>0</v>
      </c>
    </row>
    <row r="9">
      <c r="A9" s="8" t="inlineStr">
        <is>
          <t>Davis, Ashley</t>
        </is>
      </c>
      <c r="B9" s="9" t="inlineStr">
        <is>
          <t>LPN</t>
        </is>
      </c>
      <c r="C9" s="9" t="n">
        <v>1</v>
      </c>
      <c r="D9" s="9" t="n">
        <v>0</v>
      </c>
      <c r="E9" s="9" t="n">
        <v>0</v>
      </c>
      <c r="F9" s="9" t="n">
        <v>0</v>
      </c>
      <c r="G9" s="9" t="n">
        <v>0</v>
      </c>
      <c r="H9" s="9" t="n">
        <v>0</v>
      </c>
      <c r="I9" s="9" t="n">
        <v>0</v>
      </c>
    </row>
    <row r="10">
      <c r="A10" s="8" t="inlineStr">
        <is>
          <t>Rodriguez, Matthew</t>
        </is>
      </c>
      <c r="B10" s="9" t="inlineStr">
        <is>
          <t>CNA</t>
        </is>
      </c>
      <c r="C10" s="9" t="n">
        <v>1</v>
      </c>
      <c r="D10" s="9" t="n">
        <v>0</v>
      </c>
      <c r="E10" s="9" t="n">
        <v>0</v>
      </c>
      <c r="F10" s="9" t="n">
        <v>0</v>
      </c>
      <c r="G10" s="9" t="n">
        <v>0</v>
      </c>
      <c r="H10" s="9" t="n">
        <v>0</v>
      </c>
      <c r="I10" s="9" t="n">
        <v>0</v>
      </c>
    </row>
    <row r="11">
      <c r="A11" s="8" t="inlineStr">
        <is>
          <t>Martinez, Jennifer</t>
        </is>
      </c>
      <c r="B11" s="9" t="inlineStr">
        <is>
          <t>RN</t>
        </is>
      </c>
      <c r="C11" s="9" t="n">
        <v>1</v>
      </c>
      <c r="D11" s="9" t="n">
        <v>0</v>
      </c>
      <c r="E11" s="9" t="n">
        <v>0</v>
      </c>
      <c r="F11" s="9" t="n">
        <v>0</v>
      </c>
      <c r="G11" s="9" t="n">
        <v>0</v>
      </c>
      <c r="H11" s="9" t="n">
        <v>0</v>
      </c>
      <c r="I11" s="9" t="n">
        <v>0</v>
      </c>
    </row>
    <row r="12">
      <c r="A12" s="8" t="inlineStr">
        <is>
          <t>Hernandez, James</t>
        </is>
      </c>
      <c r="B12" s="9" t="inlineStr">
        <is>
          <t>RN</t>
        </is>
      </c>
      <c r="C12" s="9" t="n">
        <v>1</v>
      </c>
      <c r="D12" s="9" t="n">
        <v>0</v>
      </c>
      <c r="E12" s="9" t="n">
        <v>0</v>
      </c>
      <c r="F12" s="9" t="n">
        <v>0</v>
      </c>
      <c r="G12" s="9" t="n">
        <v>0</v>
      </c>
      <c r="H12" s="9" t="n">
        <v>0</v>
      </c>
      <c r="I12" s="9" t="n">
        <v>0</v>
      </c>
    </row>
    <row r="13">
      <c r="A13" s="8" t="inlineStr">
        <is>
          <t>Lopez, Linda</t>
        </is>
      </c>
      <c r="B13" s="9" t="inlineStr">
        <is>
          <t>LPN</t>
        </is>
      </c>
      <c r="C13" s="9" t="n">
        <v>1</v>
      </c>
      <c r="D13" s="9" t="n">
        <v>0</v>
      </c>
      <c r="E13" s="9" t="n">
        <v>0</v>
      </c>
      <c r="F13" s="9" t="n">
        <v>0</v>
      </c>
      <c r="G13" s="9" t="n">
        <v>0</v>
      </c>
      <c r="H13" s="9" t="n">
        <v>0</v>
      </c>
      <c r="I13" s="9" t="n">
        <v>0</v>
      </c>
    </row>
    <row r="14">
      <c r="A14" s="8" t="inlineStr">
        <is>
          <t>Gonzalez, Robert</t>
        </is>
      </c>
      <c r="B14" s="9" t="inlineStr">
        <is>
          <t>CNA</t>
        </is>
      </c>
      <c r="C14" s="9" t="n">
        <v>1</v>
      </c>
      <c r="D14" s="9" t="n">
        <v>0</v>
      </c>
      <c r="E14" s="9" t="n">
        <v>0</v>
      </c>
      <c r="F14" s="9" t="n">
        <v>0</v>
      </c>
      <c r="G14" s="9" t="n">
        <v>0</v>
      </c>
      <c r="H14" s="9" t="n">
        <v>0</v>
      </c>
      <c r="I14" s="9" t="n">
        <v>0</v>
      </c>
    </row>
    <row r="15">
      <c r="A15" s="8" t="inlineStr">
        <is>
          <t>Wilson, Patricia</t>
        </is>
      </c>
      <c r="B15" s="9" t="inlineStr">
        <is>
          <t>RN</t>
        </is>
      </c>
      <c r="C15" s="9" t="n">
        <v>1</v>
      </c>
      <c r="D15" s="9" t="n">
        <v>0</v>
      </c>
      <c r="E15" s="9" t="n">
        <v>0</v>
      </c>
      <c r="F15" s="9" t="n">
        <v>0</v>
      </c>
      <c r="G15" s="9" t="n">
        <v>0</v>
      </c>
      <c r="H15" s="9" t="n">
        <v>0</v>
      </c>
      <c r="I15" s="9" t="n">
        <v>0</v>
      </c>
    </row>
    <row r="16">
      <c r="A16" s="8" t="inlineStr">
        <is>
          <t>Anderson, Charles</t>
        </is>
      </c>
      <c r="B16" s="9" t="inlineStr">
        <is>
          <t>RN</t>
        </is>
      </c>
      <c r="C16" s="9" t="n">
        <v>1</v>
      </c>
      <c r="D16" s="9" t="n">
        <v>0</v>
      </c>
      <c r="E16" s="9" t="n">
        <v>0</v>
      </c>
      <c r="F16" s="9" t="n">
        <v>0</v>
      </c>
      <c r="G16" s="9" t="n">
        <v>0</v>
      </c>
      <c r="H16" s="9" t="n">
        <v>0</v>
      </c>
      <c r="I16" s="9" t="n">
        <v>0</v>
      </c>
    </row>
    <row r="17">
      <c r="A17" s="8" t="inlineStr">
        <is>
          <t>Thomas, Barbara</t>
        </is>
      </c>
      <c r="B17" s="9" t="inlineStr">
        <is>
          <t>LPN</t>
        </is>
      </c>
      <c r="C17" s="9" t="n">
        <v>1</v>
      </c>
      <c r="D17" s="9" t="n">
        <v>0</v>
      </c>
      <c r="E17" s="9" t="n">
        <v>0</v>
      </c>
      <c r="F17" s="9" t="n">
        <v>0</v>
      </c>
      <c r="G17" s="9" t="n">
        <v>0</v>
      </c>
      <c r="H17" s="9" t="n">
        <v>0</v>
      </c>
      <c r="I17" s="9" t="n">
        <v>0</v>
      </c>
    </row>
    <row r="18">
      <c r="A18" s="8" t="inlineStr">
        <is>
          <t>Taylor, Elizabeth</t>
        </is>
      </c>
      <c r="B18" s="9" t="inlineStr">
        <is>
          <t>CNA</t>
        </is>
      </c>
      <c r="C18" s="9" t="n">
        <v>1</v>
      </c>
      <c r="D18" s="9" t="n">
        <v>0</v>
      </c>
      <c r="E18" s="9" t="n">
        <v>0</v>
      </c>
      <c r="F18" s="9" t="n">
        <v>0</v>
      </c>
      <c r="G18" s="9" t="n">
        <v>0</v>
      </c>
      <c r="H18" s="9" t="n">
        <v>0</v>
      </c>
      <c r="I18" s="9" t="n">
        <v>0</v>
      </c>
    </row>
    <row r="19">
      <c r="A19" s="8" t="inlineStr">
        <is>
          <t>Moore, William</t>
        </is>
      </c>
      <c r="B19" s="9" t="inlineStr">
        <is>
          <t>RN</t>
        </is>
      </c>
      <c r="C19" s="9" t="n">
        <v>1</v>
      </c>
      <c r="D19" s="9" t="n">
        <v>0</v>
      </c>
      <c r="E19" s="9" t="n">
        <v>0</v>
      </c>
      <c r="F19" s="9" t="n">
        <v>0</v>
      </c>
      <c r="G19" s="9" t="n">
        <v>0</v>
      </c>
      <c r="H19" s="9" t="n">
        <v>0</v>
      </c>
      <c r="I19" s="9" t="n">
        <v>0</v>
      </c>
    </row>
    <row r="20">
      <c r="A20" s="8" t="inlineStr">
        <is>
          <t>Jackson, Susan</t>
        </is>
      </c>
      <c r="B20" s="9" t="inlineStr">
        <is>
          <t>RN</t>
        </is>
      </c>
      <c r="C20" s="9" t="n">
        <v>1</v>
      </c>
      <c r="D20" s="9" t="n">
        <v>0</v>
      </c>
      <c r="E20" s="9" t="n">
        <v>0</v>
      </c>
      <c r="F20" s="9" t="n">
        <v>0</v>
      </c>
      <c r="G20" s="9" t="n">
        <v>0</v>
      </c>
      <c r="H20" s="9" t="n">
        <v>0</v>
      </c>
      <c r="I20" s="9" t="n">
        <v>0</v>
      </c>
    </row>
    <row r="21">
      <c r="A21" s="8" t="inlineStr">
        <is>
          <t>Martin, Joseph</t>
        </is>
      </c>
      <c r="B21" s="9" t="inlineStr">
        <is>
          <t>LPN</t>
        </is>
      </c>
      <c r="C21" s="9" t="n">
        <v>1</v>
      </c>
      <c r="D21" s="9" t="n">
        <v>0</v>
      </c>
      <c r="E21" s="9" t="n">
        <v>0</v>
      </c>
      <c r="F21" s="9" t="n">
        <v>0</v>
      </c>
      <c r="G21" s="9" t="n">
        <v>0</v>
      </c>
      <c r="H21" s="9" t="n">
        <v>0</v>
      </c>
      <c r="I21" s="9" t="n">
        <v>0</v>
      </c>
    </row>
    <row r="22">
      <c r="A22" s="10" t="n"/>
      <c r="B22" s="10" t="n"/>
      <c r="C22" s="10" t="n"/>
      <c r="D22" s="10" t="n"/>
      <c r="E22" s="10" t="n"/>
      <c r="F22" s="10" t="n"/>
      <c r="G22" s="10" t="n"/>
      <c r="H22" s="10" t="n"/>
      <c r="I22" s="10" t="n"/>
    </row>
    <row r="23">
      <c r="A23" s="10" t="n"/>
      <c r="B23" s="10" t="n"/>
      <c r="C23" s="10" t="n"/>
      <c r="D23" s="10" t="n"/>
      <c r="E23" s="10" t="n"/>
      <c r="F23" s="10" t="n"/>
      <c r="G23" s="10" t="n"/>
      <c r="H23" s="10" t="n"/>
      <c r="I23" s="10" t="n"/>
    </row>
    <row r="24">
      <c r="A24" s="10" t="n"/>
      <c r="B24" s="10" t="n"/>
      <c r="C24" s="10" t="n"/>
      <c r="D24" s="10" t="n"/>
      <c r="E24" s="10" t="n"/>
      <c r="F24" s="10" t="n"/>
      <c r="G24" s="10" t="n"/>
      <c r="H24" s="10" t="n"/>
      <c r="I24" s="10" t="n"/>
    </row>
    <row r="25">
      <c r="A25" s="10" t="n"/>
      <c r="B25" s="10" t="n"/>
      <c r="C25" s="10" t="n"/>
      <c r="D25" s="10" t="n"/>
      <c r="E25" s="10" t="n"/>
      <c r="F25" s="10" t="n"/>
      <c r="G25" s="10" t="n"/>
      <c r="H25" s="10" t="n"/>
      <c r="I25" s="10" t="n"/>
    </row>
    <row r="26">
      <c r="A26" s="10" t="n"/>
      <c r="B26" s="10" t="n"/>
      <c r="C26" s="10" t="n"/>
      <c r="D26" s="10" t="n"/>
      <c r="E26" s="10" t="n"/>
      <c r="F26" s="10" t="n"/>
      <c r="G26" s="10" t="n"/>
      <c r="H26" s="10" t="n"/>
      <c r="I26" s="10" t="n"/>
    </row>
    <row r="27">
      <c r="A27" s="10" t="n"/>
      <c r="B27" s="10" t="n"/>
      <c r="C27" s="10" t="n"/>
      <c r="D27" s="10" t="n"/>
      <c r="E27" s="10" t="n"/>
      <c r="F27" s="10" t="n"/>
      <c r="G27" s="10" t="n"/>
      <c r="H27" s="10" t="n"/>
      <c r="I27" s="10" t="n"/>
    </row>
    <row r="28">
      <c r="A28" s="10" t="n"/>
      <c r="B28" s="10" t="n"/>
      <c r="C28" s="10" t="n"/>
      <c r="D28" s="10" t="n"/>
      <c r="E28" s="10" t="n"/>
      <c r="F28" s="10" t="n"/>
      <c r="G28" s="10" t="n"/>
      <c r="H28" s="10" t="n"/>
      <c r="I28" s="10" t="n"/>
    </row>
    <row r="29">
      <c r="A29" s="10" t="n"/>
      <c r="B29" s="10" t="n"/>
      <c r="C29" s="10" t="n"/>
      <c r="D29" s="10" t="n"/>
      <c r="E29" s="10" t="n"/>
      <c r="F29" s="10" t="n"/>
      <c r="G29" s="10" t="n"/>
      <c r="H29" s="10" t="n"/>
      <c r="I29" s="10" t="n"/>
    </row>
    <row r="30">
      <c r="A30" s="10" t="n"/>
      <c r="B30" s="10" t="n"/>
      <c r="C30" s="10" t="n"/>
      <c r="D30" s="10" t="n"/>
      <c r="E30" s="10" t="n"/>
      <c r="F30" s="10" t="n"/>
      <c r="G30" s="10" t="n"/>
      <c r="H30" s="10" t="n"/>
      <c r="I30" s="10" t="n"/>
    </row>
    <row r="31">
      <c r="A31" s="10" t="n"/>
      <c r="B31" s="10" t="n"/>
      <c r="C31" s="10" t="n"/>
      <c r="D31" s="10" t="n"/>
      <c r="E31" s="10" t="n"/>
      <c r="F31" s="10" t="n"/>
      <c r="G31" s="10" t="n"/>
      <c r="H31" s="10" t="n"/>
      <c r="I31" s="10" t="n"/>
    </row>
    <row r="33">
      <c r="A33" s="11" t="inlineStr">
        <is>
          <t>Add more staff in the empty rows above (up to 30 total); they appear on the Schedule tab automatically.</t>
        </is>
      </c>
    </row>
    <row r="34">
      <c r="A34" s="7" t="inlineStr">
        <is>
          <t>Need more than 30 staff, or a version adapted to your hospital? Write to us at hello@simplescheduleai.com and we will set you up.</t>
        </is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1" formatRows="0" sort="1" password="8610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7BAF9B"/>
    <outlinePr summaryBelow="1" summaryRight="1"/>
    <pageSetUpPr/>
  </sheetPr>
  <dimension ref="A1:G6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6" t="inlineStr">
        <is>
          <t>Unit</t>
        </is>
      </c>
      <c r="B1" s="6" t="inlineStr">
        <is>
          <t>HPPD</t>
        </is>
      </c>
      <c r="C1" s="6" t="inlineStr">
        <is>
          <t>Day_Share</t>
        </is>
      </c>
      <c r="D1" s="6" t="inlineStr">
        <is>
          <t>RN_Share_Day</t>
        </is>
      </c>
      <c r="E1" s="6" t="inlineStr">
        <is>
          <t>RN_Share_Night</t>
        </is>
      </c>
      <c r="G1" s="7" t="inlineStr">
        <is>
          <t>SimpleScheduleAI · simplescheduleai.com</t>
        </is>
      </c>
    </row>
    <row r="2">
      <c r="A2" s="8" t="inlineStr">
        <is>
          <t>Med-Surg</t>
        </is>
      </c>
      <c r="B2" s="12" t="n">
        <v>6</v>
      </c>
      <c r="C2" s="12" t="n">
        <v>0.6</v>
      </c>
      <c r="D2" s="12" t="n">
        <v>0.65</v>
      </c>
      <c r="E2" s="12" t="n">
        <v>0.6</v>
      </c>
    </row>
    <row r="3">
      <c r="A3" s="8" t="inlineStr">
        <is>
          <t>ICU</t>
        </is>
      </c>
      <c r="B3" s="12" t="n">
        <v>18</v>
      </c>
      <c r="C3" s="12" t="n">
        <v>0.5</v>
      </c>
      <c r="D3" s="12" t="n">
        <v>1</v>
      </c>
      <c r="E3" s="12" t="n">
        <v>1</v>
      </c>
    </row>
    <row r="4">
      <c r="A4" s="8" t="inlineStr">
        <is>
          <t>Telemetry</t>
        </is>
      </c>
      <c r="B4" s="12" t="n">
        <v>10</v>
      </c>
      <c r="C4" s="12" t="n">
        <v>0.55</v>
      </c>
      <c r="D4" s="12" t="n">
        <v>0.7</v>
      </c>
      <c r="E4" s="12" t="n">
        <v>0.65</v>
      </c>
    </row>
    <row r="6">
      <c r="A6" s="11" t="inlineStr">
        <is>
          <t>HPPD = nursing hours per patient day. Day_Share = fraction of hours on day shift. RN_Share = fraction that must be RN.</t>
        </is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1" formatRows="0" sort="1" password="8610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7BAF9B"/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</cols>
  <sheetData>
    <row r="1">
      <c r="A1" s="6" t="inlineStr">
        <is>
          <t>Rule</t>
        </is>
      </c>
      <c r="B1" s="6" t="inlineStr">
        <is>
          <t>Value</t>
        </is>
      </c>
      <c r="D1" s="7" t="inlineStr">
        <is>
          <t>SimpleScheduleAI · simplescheduleai.com</t>
        </is>
      </c>
    </row>
    <row r="2">
      <c r="A2" s="13" t="inlineStr">
        <is>
          <t>OT_Threshold_Weekly_Hours</t>
        </is>
      </c>
      <c r="B2" s="12" t="n">
        <v>40</v>
      </c>
    </row>
    <row r="3">
      <c r="A3" s="13" t="inlineStr">
        <is>
          <t>Rest_Hours_Between_Shifts</t>
        </is>
      </c>
      <c r="B3" s="12" t="n">
        <v>10</v>
      </c>
    </row>
    <row r="4">
      <c r="A4" s="13" t="inlineStr">
        <is>
          <t>Max_Consecutive_Days</t>
        </is>
      </c>
      <c r="B4" s="12" t="n">
        <v>5</v>
      </c>
    </row>
    <row r="5">
      <c r="A5" s="13" t="inlineStr">
        <is>
          <t>Shift_Basis_Hours</t>
        </is>
      </c>
      <c r="B5" s="12" t="n">
        <v>12</v>
      </c>
    </row>
    <row r="7">
      <c r="A7" s="11" t="inlineStr">
        <is>
          <t>Shift_Basis_Hours = the shift length the requirement math divides by (12 for 12-hour coverage, 8 for 8-hour).</t>
        </is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1" formatRows="0" sort="1" password="8610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B7C0BC"/>
    <outlinePr summaryBelow="1" summaryRight="1"/>
    <pageSetUpPr/>
  </sheetPr>
  <dimension ref="A1:H18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0" customWidth="1" min="3" max="3"/>
    <col width="8" customWidth="1" min="4" max="4"/>
    <col width="11" customWidth="1" min="5" max="5"/>
    <col width="9" customWidth="1" min="6" max="6"/>
  </cols>
  <sheetData>
    <row r="1">
      <c r="A1" s="6" t="inlineStr">
        <is>
          <t>Shift Code</t>
        </is>
      </c>
      <c r="B1" s="6" t="inlineStr">
        <is>
          <t>Description</t>
        </is>
      </c>
      <c r="C1" s="6" t="inlineStr">
        <is>
          <t>Category</t>
        </is>
      </c>
      <c r="D1" s="6" t="inlineStr">
        <is>
          <t>Hours</t>
        </is>
      </c>
      <c r="E1" s="6" t="inlineStr">
        <is>
          <t>Start_Hour</t>
        </is>
      </c>
      <c r="F1" s="6" t="inlineStr">
        <is>
          <t>End_Abs</t>
        </is>
      </c>
      <c r="H1" s="7" t="inlineStr">
        <is>
          <t>SimpleScheduleAI · simplescheduleai.com</t>
        </is>
      </c>
    </row>
    <row r="2">
      <c r="A2" s="14" t="inlineStr">
        <is>
          <t>D12</t>
        </is>
      </c>
      <c r="B2" s="15" t="inlineStr">
        <is>
          <t>Day 12hr</t>
        </is>
      </c>
      <c r="C2" s="14" t="inlineStr">
        <is>
          <t>Day</t>
        </is>
      </c>
      <c r="D2" s="14" t="n">
        <v>12</v>
      </c>
      <c r="E2" s="14" t="n">
        <v>7</v>
      </c>
      <c r="F2" s="14" t="n">
        <v>19</v>
      </c>
    </row>
    <row r="3">
      <c r="A3" s="14" t="inlineStr">
        <is>
          <t>D8</t>
        </is>
      </c>
      <c r="B3" s="15" t="inlineStr">
        <is>
          <t>Day 8hr</t>
        </is>
      </c>
      <c r="C3" s="14" t="inlineStr">
        <is>
          <t>Day</t>
        </is>
      </c>
      <c r="D3" s="14" t="n">
        <v>8</v>
      </c>
      <c r="E3" s="14" t="n">
        <v>7</v>
      </c>
      <c r="F3" s="14" t="n">
        <v>15</v>
      </c>
    </row>
    <row r="4">
      <c r="A4" s="14" t="inlineStr">
        <is>
          <t>E8</t>
        </is>
      </c>
      <c r="B4" s="15" t="inlineStr">
        <is>
          <t>Evening 8hr</t>
        </is>
      </c>
      <c r="C4" s="14" t="inlineStr">
        <is>
          <t>Day</t>
        </is>
      </c>
      <c r="D4" s="14" t="n">
        <v>8</v>
      </c>
      <c r="E4" s="14" t="n">
        <v>15</v>
      </c>
      <c r="F4" s="14" t="n">
        <v>23</v>
      </c>
    </row>
    <row r="5">
      <c r="A5" s="14" t="inlineStr">
        <is>
          <t>P4D</t>
        </is>
      </c>
      <c r="B5" s="15" t="inlineStr">
        <is>
          <t>Part-time 4hr day</t>
        </is>
      </c>
      <c r="C5" s="14" t="inlineStr">
        <is>
          <t>Day</t>
        </is>
      </c>
      <c r="D5" s="14" t="n">
        <v>4</v>
      </c>
      <c r="E5" s="14" t="n">
        <v>7</v>
      </c>
      <c r="F5" s="14" t="n">
        <v>11</v>
      </c>
    </row>
    <row r="6">
      <c r="A6" s="14" t="inlineStr">
        <is>
          <t>N12</t>
        </is>
      </c>
      <c r="B6" s="15" t="inlineStr">
        <is>
          <t>Night 12hr</t>
        </is>
      </c>
      <c r="C6" s="14" t="inlineStr">
        <is>
          <t>Night</t>
        </is>
      </c>
      <c r="D6" s="14" t="n">
        <v>12</v>
      </c>
      <c r="E6" s="14" t="n">
        <v>19</v>
      </c>
      <c r="F6" s="14" t="n">
        <v>31</v>
      </c>
    </row>
    <row r="7">
      <c r="A7" s="14" t="inlineStr">
        <is>
          <t>N8</t>
        </is>
      </c>
      <c r="B7" s="15" t="inlineStr">
        <is>
          <t>Night 8hr</t>
        </is>
      </c>
      <c r="C7" s="14" t="inlineStr">
        <is>
          <t>Night</t>
        </is>
      </c>
      <c r="D7" s="14" t="n">
        <v>8</v>
      </c>
      <c r="E7" s="14" t="n">
        <v>23</v>
      </c>
      <c r="F7" s="14" t="n">
        <v>31</v>
      </c>
    </row>
    <row r="8">
      <c r="A8" s="14" t="inlineStr">
        <is>
          <t>P4N</t>
        </is>
      </c>
      <c r="B8" s="15" t="inlineStr">
        <is>
          <t>Part-time 4hr night</t>
        </is>
      </c>
      <c r="C8" s="14" t="inlineStr">
        <is>
          <t>Night</t>
        </is>
      </c>
      <c r="D8" s="14" t="n">
        <v>4</v>
      </c>
      <c r="E8" s="14" t="n">
        <v>19</v>
      </c>
      <c r="F8" s="14" t="n">
        <v>23</v>
      </c>
    </row>
    <row r="9">
      <c r="A9" s="14" t="inlineStr">
        <is>
          <t>PTO</t>
        </is>
      </c>
      <c r="B9" s="15" t="inlineStr">
        <is>
          <t>Paid Time Off</t>
        </is>
      </c>
      <c r="C9" s="14" t="inlineStr">
        <is>
          <t>Off</t>
        </is>
      </c>
      <c r="D9" s="14" t="n">
        <v>0</v>
      </c>
      <c r="E9" s="14" t="n">
        <v>0</v>
      </c>
      <c r="F9" s="14" t="n">
        <v>0</v>
      </c>
    </row>
    <row r="10">
      <c r="A10" s="14" t="inlineStr">
        <is>
          <t>SICK</t>
        </is>
      </c>
      <c r="B10" s="15" t="inlineStr">
        <is>
          <t>Sick Leave</t>
        </is>
      </c>
      <c r="C10" s="14" t="inlineStr">
        <is>
          <t>Off</t>
        </is>
      </c>
      <c r="D10" s="14" t="n">
        <v>0</v>
      </c>
      <c r="E10" s="14" t="n">
        <v>0</v>
      </c>
      <c r="F10" s="14" t="n">
        <v>0</v>
      </c>
    </row>
    <row r="11">
      <c r="A11" s="14" t="inlineStr">
        <is>
          <t>VAC</t>
        </is>
      </c>
      <c r="B11" s="15" t="inlineStr">
        <is>
          <t>Vacation</t>
        </is>
      </c>
      <c r="C11" s="14" t="inlineStr">
        <is>
          <t>Off</t>
        </is>
      </c>
      <c r="D11" s="14" t="n">
        <v>0</v>
      </c>
      <c r="E11" s="14" t="n">
        <v>0</v>
      </c>
      <c r="F11" s="14" t="n">
        <v>0</v>
      </c>
    </row>
    <row r="12">
      <c r="A12" s="14" t="inlineStr">
        <is>
          <t>WO</t>
        </is>
      </c>
      <c r="B12" s="15" t="inlineStr">
        <is>
          <t>Work Off</t>
        </is>
      </c>
      <c r="C12" s="14" t="inlineStr">
        <is>
          <t>Off</t>
        </is>
      </c>
      <c r="D12" s="14" t="n">
        <v>0</v>
      </c>
      <c r="E12" s="14" t="n">
        <v>0</v>
      </c>
      <c r="F12" s="14" t="n">
        <v>0</v>
      </c>
    </row>
    <row r="13">
      <c r="A13" s="12" t="n"/>
      <c r="B13" s="12" t="n"/>
      <c r="C13" s="12" t="n"/>
      <c r="D13" s="12" t="n"/>
      <c r="E13" s="12" t="n"/>
      <c r="F13" s="12" t="n"/>
    </row>
    <row r="14">
      <c r="A14" s="12" t="n"/>
      <c r="B14" s="12" t="n"/>
      <c r="C14" s="12" t="n"/>
      <c r="D14" s="12" t="n"/>
      <c r="E14" s="12" t="n"/>
      <c r="F14" s="12" t="n"/>
    </row>
    <row r="16">
      <c r="A16" s="11" t="inlineStr">
        <is>
          <t>Day codes drive day coverage; Night codes drive night coverage; Off codes count as 0 hours.</t>
        </is>
      </c>
    </row>
    <row r="17">
      <c r="A17" s="11" t="inlineStr">
        <is>
          <t>End_Abs = Start_Hour + Hours. A value over 24 means the shift ends the next morning (N12 ends at 31 = 7 AM).</t>
        </is>
      </c>
    </row>
    <row r="18">
      <c r="A18" s="11" t="inlineStr">
        <is>
          <t>Rows 13-14 are open for custom codes (e.g. a 10-hour shift). Custom codes count toward hours, overtime, and rest checks; the RN day/night coverage counts use the built-in codes.</t>
        </is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1" formatRows="0" sort="1" password="8610"/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7BAF9B"/>
    <outlinePr summaryBelow="1" summaryRight="1"/>
    <pageSetUpPr/>
  </sheetPr>
  <dimension ref="A1:J6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</cols>
  <sheetData>
    <row r="1">
      <c r="A1" s="6" t="inlineStr">
        <is>
          <t>Unit \ Date</t>
        </is>
      </c>
      <c r="B1" s="16">
        <f>Schedule!D4</f>
        <v/>
      </c>
      <c r="C1" s="16">
        <f>Schedule!E4</f>
        <v/>
      </c>
      <c r="D1" s="16">
        <f>Schedule!F4</f>
        <v/>
      </c>
      <c r="E1" s="16">
        <f>Schedule!G4</f>
        <v/>
      </c>
      <c r="F1" s="16">
        <f>Schedule!H4</f>
        <v/>
      </c>
      <c r="G1" s="16">
        <f>Schedule!I4</f>
        <v/>
      </c>
      <c r="H1" s="16">
        <f>Schedule!J4</f>
        <v/>
      </c>
      <c r="J1" s="7" t="inlineStr">
        <is>
          <t>SimpleScheduleAI · simplescheduleai.com</t>
        </is>
      </c>
    </row>
    <row r="2">
      <c r="A2" s="13">
        <f>Units!A2</f>
        <v/>
      </c>
      <c r="B2" s="12" t="n">
        <v>12</v>
      </c>
      <c r="C2" s="12" t="n">
        <v>10</v>
      </c>
      <c r="D2" s="12" t="n">
        <v>14</v>
      </c>
      <c r="E2" s="12" t="n">
        <v>15</v>
      </c>
      <c r="F2" s="12" t="n">
        <v>15</v>
      </c>
      <c r="G2" s="12" t="n">
        <v>15</v>
      </c>
      <c r="H2" s="12" t="n">
        <v>16</v>
      </c>
    </row>
    <row r="3">
      <c r="A3" s="13">
        <f>Units!A3</f>
        <v/>
      </c>
      <c r="B3" s="12" t="n">
        <v>12</v>
      </c>
      <c r="C3" s="12" t="n">
        <v>10</v>
      </c>
      <c r="D3" s="12" t="n">
        <v>14</v>
      </c>
      <c r="E3" s="12" t="n">
        <v>15</v>
      </c>
      <c r="F3" s="12" t="n">
        <v>15</v>
      </c>
      <c r="G3" s="12" t="n">
        <v>15</v>
      </c>
      <c r="H3" s="12" t="n">
        <v>16</v>
      </c>
    </row>
    <row r="4">
      <c r="A4" s="13">
        <f>Units!A4</f>
        <v/>
      </c>
      <c r="B4" s="12" t="n">
        <v>12</v>
      </c>
      <c r="C4" s="12" t="n">
        <v>10</v>
      </c>
      <c r="D4" s="12" t="n">
        <v>14</v>
      </c>
      <c r="E4" s="12" t="n">
        <v>15</v>
      </c>
      <c r="F4" s="12" t="n">
        <v>15</v>
      </c>
      <c r="G4" s="12" t="n">
        <v>15</v>
      </c>
      <c r="H4" s="12" t="n">
        <v>16</v>
      </c>
    </row>
    <row r="6">
      <c r="A6" s="11" t="inlineStr">
        <is>
          <t>Enter the projected patient census per unit for each day of the week.</t>
        </is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1" formatRows="0" sort="1" password="8610"/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7BAF9B"/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14" customWidth="1" min="1" max="1"/>
    <col width="22" customWidth="1" min="2" max="2"/>
  </cols>
  <sheetData>
    <row r="1">
      <c r="A1" s="6" t="inlineStr">
        <is>
          <t>Date</t>
        </is>
      </c>
      <c r="B1" s="6" t="inlineStr">
        <is>
          <t>Name</t>
        </is>
      </c>
      <c r="D1" s="7" t="inlineStr">
        <is>
          <t>SimpleScheduleAI · simplescheduleai.com</t>
        </is>
      </c>
    </row>
    <row r="2">
      <c r="A2" s="17" t="n">
        <v>45967</v>
      </c>
      <c r="B2" s="18" t="inlineStr">
        <is>
          <t>Public Holiday A</t>
        </is>
      </c>
    </row>
    <row r="3">
      <c r="A3" s="10" t="n"/>
      <c r="B3" s="10" t="n"/>
    </row>
    <row r="4">
      <c r="A4" s="10" t="n"/>
      <c r="B4" s="10" t="n"/>
    </row>
    <row r="5">
      <c r="A5" s="10" t="n"/>
      <c r="B5" s="10" t="n"/>
    </row>
    <row r="6">
      <c r="A6" s="10" t="n"/>
      <c r="B6" s="10" t="n"/>
    </row>
    <row r="7">
      <c r="A7" s="10" t="n"/>
      <c r="B7" s="10" t="n"/>
    </row>
    <row r="8">
      <c r="A8" s="10" t="n"/>
      <c r="B8" s="10" t="n"/>
    </row>
    <row r="9">
      <c r="A9" s="10" t="n"/>
      <c r="B9" s="10" t="n"/>
    </row>
    <row r="10">
      <c r="A10" s="10" t="n"/>
      <c r="B10" s="10" t="n"/>
    </row>
    <row r="11">
      <c r="A11" s="10" t="n"/>
      <c r="B11" s="10" t="n"/>
    </row>
    <row r="12">
      <c r="A12" s="10" t="n"/>
      <c r="B12" s="10" t="n"/>
    </row>
    <row r="13">
      <c r="A13" s="10" t="n"/>
      <c r="B13" s="10" t="n"/>
    </row>
    <row r="14">
      <c r="A14" s="10" t="n"/>
      <c r="B14" s="10" t="n"/>
    </row>
    <row r="15">
      <c r="A15" s="10" t="n"/>
      <c r="B15" s="10" t="n"/>
    </row>
    <row r="16">
      <c r="A16" s="10" t="n"/>
      <c r="B16" s="10" t="n"/>
    </row>
    <row r="17">
      <c r="A17" s="10" t="n"/>
      <c r="B17" s="10" t="n"/>
    </row>
    <row r="18">
      <c r="A18" s="10" t="n"/>
      <c r="B18" s="10" t="n"/>
    </row>
    <row r="19">
      <c r="A19" s="10" t="n"/>
      <c r="B19" s="10" t="n"/>
    </row>
    <row r="20">
      <c r="A20" s="10" t="n"/>
      <c r="B20" s="10" t="n"/>
    </row>
  </sheetData>
  <sheetProtection selectLockedCells="0" selectUnlockedCells="0" sheet="1" objects="0" insertRows="1" insertHyperlinks="1" autoFilter="1" scenarios="0" formatColumns="0" deleteColumns="1" insertColumns="1" pivotTables="1" deleteRows="1" formatCells="1" formatRows="0" sort="1" password="8610"/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7BAF9B"/>
    <outlinePr summaryBelow="1" summaryRight="1"/>
    <pageSetUpPr/>
  </sheetPr>
  <dimension ref="A1:F20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0" customWidth="1" min="4" max="4"/>
  </cols>
  <sheetData>
    <row r="1">
      <c r="A1" s="6" t="inlineStr">
        <is>
          <t>Employee Name</t>
        </is>
      </c>
      <c r="B1" s="6" t="inlineStr">
        <is>
          <t>Start Date</t>
        </is>
      </c>
      <c r="C1" s="6" t="inlineStr">
        <is>
          <t>End Date</t>
        </is>
      </c>
      <c r="D1" s="6" t="inlineStr">
        <is>
          <t>Type</t>
        </is>
      </c>
      <c r="F1" s="7" t="inlineStr">
        <is>
          <t>SimpleScheduleAI · simplescheduleai.com</t>
        </is>
      </c>
    </row>
    <row r="2">
      <c r="A2" s="19" t="inlineStr">
        <is>
          <t>Smith, John</t>
        </is>
      </c>
      <c r="B2" s="17" t="n">
        <v>45964</v>
      </c>
      <c r="C2" s="17" t="n">
        <v>45965</v>
      </c>
      <c r="D2" s="18" t="inlineStr">
        <is>
          <t>PTO</t>
        </is>
      </c>
    </row>
    <row r="3">
      <c r="A3" s="19" t="inlineStr">
        <is>
          <t>Johnson, Emily</t>
        </is>
      </c>
      <c r="B3" s="17" t="n">
        <v>45966</v>
      </c>
      <c r="C3" s="17" t="n">
        <v>45966</v>
      </c>
      <c r="D3" s="18" t="inlineStr">
        <is>
          <t>SICK</t>
        </is>
      </c>
    </row>
    <row r="4">
      <c r="A4" s="19" t="inlineStr">
        <is>
          <t>Garcia, Sarah</t>
        </is>
      </c>
      <c r="B4" s="17" t="n">
        <v>45969</v>
      </c>
      <c r="C4" s="17" t="n">
        <v>45970</v>
      </c>
      <c r="D4" s="18" t="inlineStr">
        <is>
          <t>VAC</t>
        </is>
      </c>
    </row>
    <row r="5">
      <c r="A5" s="10" t="n"/>
      <c r="B5" s="10" t="n"/>
      <c r="C5" s="10" t="n"/>
      <c r="D5" s="10" t="n"/>
    </row>
    <row r="6">
      <c r="A6" s="10" t="n"/>
      <c r="B6" s="10" t="n"/>
      <c r="C6" s="10" t="n"/>
      <c r="D6" s="10" t="n"/>
    </row>
    <row r="7">
      <c r="A7" s="10" t="n"/>
      <c r="B7" s="10" t="n"/>
      <c r="C7" s="10" t="n"/>
      <c r="D7" s="10" t="n"/>
    </row>
    <row r="8">
      <c r="A8" s="10" t="n"/>
      <c r="B8" s="10" t="n"/>
      <c r="C8" s="10" t="n"/>
      <c r="D8" s="10" t="n"/>
    </row>
    <row r="9">
      <c r="A9" s="10" t="n"/>
      <c r="B9" s="10" t="n"/>
      <c r="C9" s="10" t="n"/>
      <c r="D9" s="10" t="n"/>
    </row>
    <row r="10">
      <c r="A10" s="10" t="n"/>
      <c r="B10" s="10" t="n"/>
      <c r="C10" s="10" t="n"/>
      <c r="D10" s="10" t="n"/>
    </row>
    <row r="11">
      <c r="A11" s="10" t="n"/>
      <c r="B11" s="10" t="n"/>
      <c r="C11" s="10" t="n"/>
      <c r="D11" s="10" t="n"/>
    </row>
    <row r="12">
      <c r="A12" s="10" t="n"/>
      <c r="B12" s="10" t="n"/>
      <c r="C12" s="10" t="n"/>
      <c r="D12" s="10" t="n"/>
    </row>
    <row r="13">
      <c r="A13" s="10" t="n"/>
      <c r="B13" s="10" t="n"/>
      <c r="C13" s="10" t="n"/>
      <c r="D13" s="10" t="n"/>
    </row>
    <row r="14">
      <c r="A14" s="10" t="n"/>
      <c r="B14" s="10" t="n"/>
      <c r="C14" s="10" t="n"/>
      <c r="D14" s="10" t="n"/>
    </row>
    <row r="15">
      <c r="A15" s="10" t="n"/>
      <c r="B15" s="10" t="n"/>
      <c r="C15" s="10" t="n"/>
      <c r="D15" s="10" t="n"/>
    </row>
    <row r="16">
      <c r="A16" s="10" t="n"/>
      <c r="B16" s="10" t="n"/>
      <c r="C16" s="10" t="n"/>
      <c r="D16" s="10" t="n"/>
    </row>
    <row r="17">
      <c r="A17" s="10" t="n"/>
      <c r="B17" s="10" t="n"/>
      <c r="C17" s="10" t="n"/>
      <c r="D17" s="10" t="n"/>
    </row>
    <row r="18">
      <c r="A18" s="10" t="n"/>
      <c r="B18" s="10" t="n"/>
      <c r="C18" s="10" t="n"/>
      <c r="D18" s="10" t="n"/>
    </row>
    <row r="19">
      <c r="A19" s="10" t="n"/>
      <c r="B19" s="10" t="n"/>
      <c r="C19" s="10" t="n"/>
      <c r="D19" s="10" t="n"/>
    </row>
    <row r="20">
      <c r="A20" s="10" t="n"/>
      <c r="B20" s="10" t="n"/>
      <c r="C20" s="10" t="n"/>
      <c r="D20" s="10" t="n"/>
    </row>
  </sheetData>
  <sheetProtection selectLockedCells="0" selectUnlockedCells="0" sheet="1" objects="0" insertRows="1" insertHyperlinks="1" autoFilter="1" scenarios="0" formatColumns="0" deleteColumns="1" insertColumns="1" pivotTables="1" deleteRows="1" formatCells="1" formatRows="0" sort="1" password="8610"/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2D5A4A"/>
    <outlinePr summaryBelow="1" summaryRight="1"/>
    <pageSetUpPr/>
  </sheetPr>
  <dimension ref="A1:AM46"/>
  <sheetViews>
    <sheetView showGridLines="0" workbookViewId="0">
      <pane xSplit="2" ySplit="11" topLeftCell="C1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0" customWidth="1" min="1" max="1"/>
    <col width="12" customWidth="1" min="2" max="2"/>
    <col width="8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  <col width="8" customWidth="1" min="11" max="11"/>
    <col width="7" customWidth="1" min="12" max="12"/>
    <col width="8" customWidth="1" min="13" max="13"/>
    <col width="8" customWidth="1" min="14" max="14"/>
    <col width="9" customWidth="1" min="15" max="15"/>
    <col width="7" customWidth="1" min="16" max="16"/>
    <col width="8" customWidth="1" min="17" max="17"/>
    <col hidden="1" width="13" customWidth="1" min="18" max="18"/>
    <col hidden="1" width="13" customWidth="1" min="19" max="19"/>
    <col hidden="1" width="13" customWidth="1" min="20" max="20"/>
    <col hidden="1" width="13" customWidth="1" min="21" max="21"/>
    <col hidden="1" width="13" customWidth="1" min="22" max="22"/>
    <col hidden="1" width="13" customWidth="1" min="23" max="23"/>
    <col hidden="1" width="13" customWidth="1" min="24" max="24"/>
    <col hidden="1" width="13" customWidth="1" min="25" max="25"/>
    <col hidden="1" width="13" customWidth="1" min="26" max="26"/>
    <col hidden="1" width="13" customWidth="1" min="27" max="27"/>
    <col hidden="1" width="13" customWidth="1" min="28" max="28"/>
    <col hidden="1" width="13" customWidth="1" min="29" max="29"/>
    <col hidden="1" width="13" customWidth="1" min="30" max="30"/>
    <col hidden="1" width="13" customWidth="1" min="31" max="31"/>
    <col hidden="1" width="13" customWidth="1" min="32" max="32"/>
    <col hidden="1" width="13" customWidth="1" min="33" max="33"/>
    <col hidden="1" width="13" customWidth="1" min="34" max="34"/>
    <col hidden="1" width="13" customWidth="1" min="35" max="35"/>
    <col hidden="1" width="13" customWidth="1" min="36" max="36"/>
    <col hidden="1" width="13" customWidth="1" min="37" max="37"/>
    <col hidden="1" width="13" customWidth="1" min="38" max="38"/>
    <col hidden="1" width="13" customWidth="1" min="39" max="39"/>
  </cols>
  <sheetData>
    <row r="1">
      <c r="A1" s="20" t="inlineStr">
        <is>
          <t>Select Unit:</t>
        </is>
      </c>
      <c r="B1" s="12" t="inlineStr">
        <is>
          <t>Med-Surg</t>
        </is>
      </c>
      <c r="M1" s="7" t="inlineStr">
        <is>
          <t>SimpleScheduleAI · simplescheduleai.com</t>
        </is>
      </c>
    </row>
    <row r="2">
      <c r="A2" s="20" t="inlineStr">
        <is>
          <t>Week start (Mon):</t>
        </is>
      </c>
      <c r="B2" s="21" t="n">
        <v>45964</v>
      </c>
    </row>
    <row r="4">
      <c r="D4" s="22">
        <f>$B$2</f>
        <v/>
      </c>
      <c r="E4" s="22">
        <f>D4+1</f>
        <v/>
      </c>
      <c r="F4" s="22">
        <f>E4+1</f>
        <v/>
      </c>
      <c r="G4" s="22">
        <f>F4+1</f>
        <v/>
      </c>
      <c r="H4" s="22">
        <f>G4+1</f>
        <v/>
      </c>
      <c r="I4" s="22">
        <f>H4+1</f>
        <v/>
      </c>
      <c r="J4" s="22">
        <f>I4+1</f>
        <v/>
      </c>
    </row>
    <row r="5">
      <c r="D5" s="23">
        <f>IF(COUNTIF(Holidays!$A$2:$A$20,D4)&gt;0,"HOLIDAY",TEXT(D4,"ddd"))</f>
        <v/>
      </c>
      <c r="E5" s="23">
        <f>IF(COUNTIF(Holidays!$A$2:$A$20,E4)&gt;0,"HOLIDAY",TEXT(E4,"ddd"))</f>
        <v/>
      </c>
      <c r="F5" s="23">
        <f>IF(COUNTIF(Holidays!$A$2:$A$20,F4)&gt;0,"HOLIDAY",TEXT(F4,"ddd"))</f>
        <v/>
      </c>
      <c r="G5" s="23">
        <f>IF(COUNTIF(Holidays!$A$2:$A$20,G4)&gt;0,"HOLIDAY",TEXT(G4,"ddd"))</f>
        <v/>
      </c>
      <c r="H5" s="23">
        <f>IF(COUNTIF(Holidays!$A$2:$A$20,H4)&gt;0,"HOLIDAY",TEXT(H4,"ddd"))</f>
        <v/>
      </c>
      <c r="I5" s="23">
        <f>IF(COUNTIF(Holidays!$A$2:$A$20,I4)&gt;0,"HOLIDAY",TEXT(I4,"ddd"))</f>
        <v/>
      </c>
      <c r="J5" s="23">
        <f>IF(COUNTIF(Holidays!$A$2:$A$20,J4)&gt;0,"HOLIDAY",TEXT(J4,"ddd"))</f>
        <v/>
      </c>
    </row>
    <row r="6">
      <c r="A6" s="20" t="inlineStr">
        <is>
          <t>RNs Required - Day</t>
        </is>
      </c>
      <c r="D6" s="24">
        <f>ROUNDUP(VLOOKUP($B$1,Units_Tbl,2,FALSE)*INDEX(Census!$B$2:$H$4,MATCH($B$1,Census!$A$2:$A$4,0),MATCH(D$4,Census!$B$1:$H$1,0))*VLOOKUP($B$1,Units_Tbl,3,FALSE)*VLOOKUP($B$1,Units_Tbl,4,FALSE)/Shift_Basis,0)</f>
        <v/>
      </c>
      <c r="E6" s="24">
        <f>ROUNDUP(VLOOKUP($B$1,Units_Tbl,2,FALSE)*INDEX(Census!$B$2:$H$4,MATCH($B$1,Census!$A$2:$A$4,0),MATCH(E$4,Census!$B$1:$H$1,0))*VLOOKUP($B$1,Units_Tbl,3,FALSE)*VLOOKUP($B$1,Units_Tbl,4,FALSE)/Shift_Basis,0)</f>
        <v/>
      </c>
      <c r="F6" s="24">
        <f>ROUNDUP(VLOOKUP($B$1,Units_Tbl,2,FALSE)*INDEX(Census!$B$2:$H$4,MATCH($B$1,Census!$A$2:$A$4,0),MATCH(F$4,Census!$B$1:$H$1,0))*VLOOKUP($B$1,Units_Tbl,3,FALSE)*VLOOKUP($B$1,Units_Tbl,4,FALSE)/Shift_Basis,0)</f>
        <v/>
      </c>
      <c r="G6" s="24">
        <f>ROUNDUP(VLOOKUP($B$1,Units_Tbl,2,FALSE)*INDEX(Census!$B$2:$H$4,MATCH($B$1,Census!$A$2:$A$4,0),MATCH(G$4,Census!$B$1:$H$1,0))*VLOOKUP($B$1,Units_Tbl,3,FALSE)*VLOOKUP($B$1,Units_Tbl,4,FALSE)/Shift_Basis,0)</f>
        <v/>
      </c>
      <c r="H6" s="24">
        <f>ROUNDUP(VLOOKUP($B$1,Units_Tbl,2,FALSE)*INDEX(Census!$B$2:$H$4,MATCH($B$1,Census!$A$2:$A$4,0),MATCH(H$4,Census!$B$1:$H$1,0))*VLOOKUP($B$1,Units_Tbl,3,FALSE)*VLOOKUP($B$1,Units_Tbl,4,FALSE)/Shift_Basis,0)</f>
        <v/>
      </c>
      <c r="I6" s="24">
        <f>ROUNDUP(VLOOKUP($B$1,Units_Tbl,2,FALSE)*INDEX(Census!$B$2:$H$4,MATCH($B$1,Census!$A$2:$A$4,0),MATCH(I$4,Census!$B$1:$H$1,0))*VLOOKUP($B$1,Units_Tbl,3,FALSE)*VLOOKUP($B$1,Units_Tbl,4,FALSE)/Shift_Basis,0)</f>
        <v/>
      </c>
      <c r="J6" s="24">
        <f>ROUNDUP(VLOOKUP($B$1,Units_Tbl,2,FALSE)*INDEX(Census!$B$2:$H$4,MATCH($B$1,Census!$A$2:$A$4,0),MATCH(J$4,Census!$B$1:$H$1,0))*VLOOKUP($B$1,Units_Tbl,3,FALSE)*VLOOKUP($B$1,Units_Tbl,4,FALSE)/Shift_Basis,0)</f>
        <v/>
      </c>
    </row>
    <row r="7">
      <c r="A7" s="20" t="inlineStr">
        <is>
          <t>RNs Required - Night</t>
        </is>
      </c>
      <c r="D7" s="24">
        <f>ROUNDUP(VLOOKUP($B$1,Units_Tbl,2,FALSE)*INDEX(Census!$B$2:$H$4,MATCH($B$1,Census!$A$2:$A$4,0),MATCH(D$4,Census!$B$1:$H$1,0))*(1-VLOOKUP($B$1,Units_Tbl,3,FALSE))*VLOOKUP($B$1,Units_Tbl,5,FALSE)/Shift_Basis,0)</f>
        <v/>
      </c>
      <c r="E7" s="24">
        <f>ROUNDUP(VLOOKUP($B$1,Units_Tbl,2,FALSE)*INDEX(Census!$B$2:$H$4,MATCH($B$1,Census!$A$2:$A$4,0),MATCH(E$4,Census!$B$1:$H$1,0))*(1-VLOOKUP($B$1,Units_Tbl,3,FALSE))*VLOOKUP($B$1,Units_Tbl,5,FALSE)/Shift_Basis,0)</f>
        <v/>
      </c>
      <c r="F7" s="24">
        <f>ROUNDUP(VLOOKUP($B$1,Units_Tbl,2,FALSE)*INDEX(Census!$B$2:$H$4,MATCH($B$1,Census!$A$2:$A$4,0),MATCH(F$4,Census!$B$1:$H$1,0))*(1-VLOOKUP($B$1,Units_Tbl,3,FALSE))*VLOOKUP($B$1,Units_Tbl,5,FALSE)/Shift_Basis,0)</f>
        <v/>
      </c>
      <c r="G7" s="24">
        <f>ROUNDUP(VLOOKUP($B$1,Units_Tbl,2,FALSE)*INDEX(Census!$B$2:$H$4,MATCH($B$1,Census!$A$2:$A$4,0),MATCH(G$4,Census!$B$1:$H$1,0))*(1-VLOOKUP($B$1,Units_Tbl,3,FALSE))*VLOOKUP($B$1,Units_Tbl,5,FALSE)/Shift_Basis,0)</f>
        <v/>
      </c>
      <c r="H7" s="24">
        <f>ROUNDUP(VLOOKUP($B$1,Units_Tbl,2,FALSE)*INDEX(Census!$B$2:$H$4,MATCH($B$1,Census!$A$2:$A$4,0),MATCH(H$4,Census!$B$1:$H$1,0))*(1-VLOOKUP($B$1,Units_Tbl,3,FALSE))*VLOOKUP($B$1,Units_Tbl,5,FALSE)/Shift_Basis,0)</f>
        <v/>
      </c>
      <c r="I7" s="24">
        <f>ROUNDUP(VLOOKUP($B$1,Units_Tbl,2,FALSE)*INDEX(Census!$B$2:$H$4,MATCH($B$1,Census!$A$2:$A$4,0),MATCH(I$4,Census!$B$1:$H$1,0))*(1-VLOOKUP($B$1,Units_Tbl,3,FALSE))*VLOOKUP($B$1,Units_Tbl,5,FALSE)/Shift_Basis,0)</f>
        <v/>
      </c>
      <c r="J7" s="24">
        <f>ROUNDUP(VLOOKUP($B$1,Units_Tbl,2,FALSE)*INDEX(Census!$B$2:$H$4,MATCH($B$1,Census!$A$2:$A$4,0),MATCH(J$4,Census!$B$1:$H$1,0))*(1-VLOOKUP($B$1,Units_Tbl,3,FALSE))*VLOOKUP($B$1,Units_Tbl,5,FALSE)/Shift_Basis,0)</f>
        <v/>
      </c>
    </row>
    <row r="8">
      <c r="A8" s="20" t="inlineStr">
        <is>
          <t>Other Required - Day</t>
        </is>
      </c>
      <c r="D8" s="24">
        <f>ROUNDUP(VLOOKUP($B$1,Units_Tbl,2,FALSE)*INDEX(Census!$B$2:$H$4,MATCH($B$1,Census!$A$2:$A$4,0),MATCH(D$4,Census!$B$1:$H$1,0))*VLOOKUP($B$1,Units_Tbl,3,FALSE)*(1-VLOOKUP($B$1,Units_Tbl,4,FALSE))/Shift_Basis,0)</f>
        <v/>
      </c>
      <c r="E8" s="24">
        <f>ROUNDUP(VLOOKUP($B$1,Units_Tbl,2,FALSE)*INDEX(Census!$B$2:$H$4,MATCH($B$1,Census!$A$2:$A$4,0),MATCH(E$4,Census!$B$1:$H$1,0))*VLOOKUP($B$1,Units_Tbl,3,FALSE)*(1-VLOOKUP($B$1,Units_Tbl,4,FALSE))/Shift_Basis,0)</f>
        <v/>
      </c>
      <c r="F8" s="24">
        <f>ROUNDUP(VLOOKUP($B$1,Units_Tbl,2,FALSE)*INDEX(Census!$B$2:$H$4,MATCH($B$1,Census!$A$2:$A$4,0),MATCH(F$4,Census!$B$1:$H$1,0))*VLOOKUP($B$1,Units_Tbl,3,FALSE)*(1-VLOOKUP($B$1,Units_Tbl,4,FALSE))/Shift_Basis,0)</f>
        <v/>
      </c>
      <c r="G8" s="24">
        <f>ROUNDUP(VLOOKUP($B$1,Units_Tbl,2,FALSE)*INDEX(Census!$B$2:$H$4,MATCH($B$1,Census!$A$2:$A$4,0),MATCH(G$4,Census!$B$1:$H$1,0))*VLOOKUP($B$1,Units_Tbl,3,FALSE)*(1-VLOOKUP($B$1,Units_Tbl,4,FALSE))/Shift_Basis,0)</f>
        <v/>
      </c>
      <c r="H8" s="24">
        <f>ROUNDUP(VLOOKUP($B$1,Units_Tbl,2,FALSE)*INDEX(Census!$B$2:$H$4,MATCH($B$1,Census!$A$2:$A$4,0),MATCH(H$4,Census!$B$1:$H$1,0))*VLOOKUP($B$1,Units_Tbl,3,FALSE)*(1-VLOOKUP($B$1,Units_Tbl,4,FALSE))/Shift_Basis,0)</f>
        <v/>
      </c>
      <c r="I8" s="24">
        <f>ROUNDUP(VLOOKUP($B$1,Units_Tbl,2,FALSE)*INDEX(Census!$B$2:$H$4,MATCH($B$1,Census!$A$2:$A$4,0),MATCH(I$4,Census!$B$1:$H$1,0))*VLOOKUP($B$1,Units_Tbl,3,FALSE)*(1-VLOOKUP($B$1,Units_Tbl,4,FALSE))/Shift_Basis,0)</f>
        <v/>
      </c>
      <c r="J8" s="24">
        <f>ROUNDUP(VLOOKUP($B$1,Units_Tbl,2,FALSE)*INDEX(Census!$B$2:$H$4,MATCH($B$1,Census!$A$2:$A$4,0),MATCH(J$4,Census!$B$1:$H$1,0))*VLOOKUP($B$1,Units_Tbl,3,FALSE)*(1-VLOOKUP($B$1,Units_Tbl,4,FALSE))/Shift_Basis,0)</f>
        <v/>
      </c>
    </row>
    <row r="9">
      <c r="A9" s="20" t="inlineStr">
        <is>
          <t>Other Required - Night</t>
        </is>
      </c>
      <c r="D9" s="24">
        <f>ROUNDUP(VLOOKUP($B$1,Units_Tbl,2,FALSE)*INDEX(Census!$B$2:$H$4,MATCH($B$1,Census!$A$2:$A$4,0),MATCH(D$4,Census!$B$1:$H$1,0))*(1-VLOOKUP($B$1,Units_Tbl,3,FALSE))*(1-VLOOKUP($B$1,Units_Tbl,5,FALSE))/Shift_Basis,0)</f>
        <v/>
      </c>
      <c r="E9" s="24">
        <f>ROUNDUP(VLOOKUP($B$1,Units_Tbl,2,FALSE)*INDEX(Census!$B$2:$H$4,MATCH($B$1,Census!$A$2:$A$4,0),MATCH(E$4,Census!$B$1:$H$1,0))*(1-VLOOKUP($B$1,Units_Tbl,3,FALSE))*(1-VLOOKUP($B$1,Units_Tbl,5,FALSE))/Shift_Basis,0)</f>
        <v/>
      </c>
      <c r="F9" s="24">
        <f>ROUNDUP(VLOOKUP($B$1,Units_Tbl,2,FALSE)*INDEX(Census!$B$2:$H$4,MATCH($B$1,Census!$A$2:$A$4,0),MATCH(F$4,Census!$B$1:$H$1,0))*(1-VLOOKUP($B$1,Units_Tbl,3,FALSE))*(1-VLOOKUP($B$1,Units_Tbl,5,FALSE))/Shift_Basis,0)</f>
        <v/>
      </c>
      <c r="G9" s="24">
        <f>ROUNDUP(VLOOKUP($B$1,Units_Tbl,2,FALSE)*INDEX(Census!$B$2:$H$4,MATCH($B$1,Census!$A$2:$A$4,0),MATCH(G$4,Census!$B$1:$H$1,0))*(1-VLOOKUP($B$1,Units_Tbl,3,FALSE))*(1-VLOOKUP($B$1,Units_Tbl,5,FALSE))/Shift_Basis,0)</f>
        <v/>
      </c>
      <c r="H9" s="24">
        <f>ROUNDUP(VLOOKUP($B$1,Units_Tbl,2,FALSE)*INDEX(Census!$B$2:$H$4,MATCH($B$1,Census!$A$2:$A$4,0),MATCH(H$4,Census!$B$1:$H$1,0))*(1-VLOOKUP($B$1,Units_Tbl,3,FALSE))*(1-VLOOKUP($B$1,Units_Tbl,5,FALSE))/Shift_Basis,0)</f>
        <v/>
      </c>
      <c r="I9" s="24">
        <f>ROUNDUP(VLOOKUP($B$1,Units_Tbl,2,FALSE)*INDEX(Census!$B$2:$H$4,MATCH($B$1,Census!$A$2:$A$4,0),MATCH(I$4,Census!$B$1:$H$1,0))*(1-VLOOKUP($B$1,Units_Tbl,3,FALSE))*(1-VLOOKUP($B$1,Units_Tbl,5,FALSE))/Shift_Basis,0)</f>
        <v/>
      </c>
      <c r="J9" s="24">
        <f>ROUNDUP(VLOOKUP($B$1,Units_Tbl,2,FALSE)*INDEX(Census!$B$2:$H$4,MATCH($B$1,Census!$A$2:$A$4,0),MATCH(J$4,Census!$B$1:$H$1,0))*(1-VLOOKUP($B$1,Units_Tbl,3,FALSE))*(1-VLOOKUP($B$1,Units_Tbl,5,FALSE))/Shift_Basis,0)</f>
        <v/>
      </c>
    </row>
    <row r="11">
      <c r="A11" s="6" t="inlineStr">
        <is>
          <t>Nurse</t>
        </is>
      </c>
      <c r="B11" s="6" t="inlineStr">
        <is>
          <t>Role</t>
        </is>
      </c>
      <c r="D11" s="6">
        <f>TEXT(D4,"ddd")</f>
        <v/>
      </c>
      <c r="E11" s="6">
        <f>TEXT(E4,"ddd")</f>
        <v/>
      </c>
      <c r="F11" s="6">
        <f>TEXT(F4,"ddd")</f>
        <v/>
      </c>
      <c r="G11" s="6">
        <f>TEXT(G4,"ddd")</f>
        <v/>
      </c>
      <c r="H11" s="6">
        <f>TEXT(H4,"ddd")</f>
        <v/>
      </c>
      <c r="I11" s="6">
        <f>TEXT(I4,"ddd")</f>
        <v/>
      </c>
      <c r="J11" s="6">
        <f>TEXT(J4,"ddd")</f>
        <v/>
      </c>
      <c r="K11" s="6" t="inlineStr">
        <is>
          <t>Hours</t>
        </is>
      </c>
      <c r="L11" s="6" t="inlineStr">
        <is>
          <t>OT?</t>
        </is>
      </c>
      <c r="M11" s="6" t="inlineStr">
        <is>
          <t>Consec</t>
        </is>
      </c>
      <c r="N11" s="6" t="inlineStr">
        <is>
          <t>Consec?</t>
        </is>
      </c>
      <c r="O11" s="6" t="inlineStr">
        <is>
          <t>Min Rest</t>
        </is>
      </c>
      <c r="P11" s="6" t="inlineStr">
        <is>
          <t>Rest?</t>
        </is>
      </c>
      <c r="Q11" s="6" t="inlineStr">
        <is>
          <t>Leave?</t>
        </is>
      </c>
    </row>
    <row r="12">
      <c r="A12" s="15">
        <f>IF(Staff!A2="","",Staff!A2)</f>
        <v/>
      </c>
      <c r="B12" s="14">
        <f>IF(A12="","",VLOOKUP(A12,StaffTbl,2,FALSE))</f>
        <v/>
      </c>
      <c r="D12" s="9" t="inlineStr">
        <is>
          <t>PTO</t>
        </is>
      </c>
      <c r="E12" s="9" t="inlineStr">
        <is>
          <t>PTO</t>
        </is>
      </c>
      <c r="F12" s="9" t="inlineStr">
        <is>
          <t>D12</t>
        </is>
      </c>
      <c r="G12" s="9" t="inlineStr">
        <is>
          <t>WO</t>
        </is>
      </c>
      <c r="H12" s="9" t="inlineStr">
        <is>
          <t>D12</t>
        </is>
      </c>
      <c r="I12" s="9" t="inlineStr">
        <is>
          <t>WO</t>
        </is>
      </c>
      <c r="J12" s="9" t="inlineStr">
        <is>
          <t>N12</t>
        </is>
      </c>
      <c r="K12" s="14">
        <f>IF($A12="","",SUMPRODUCT(SUMIF(ShiftCode,D12:J12,ShiftHours)))</f>
        <v/>
      </c>
      <c r="L12" s="25">
        <f>IF($A12="","",IF(K12&gt;OT_Threshold,"OVER",""))</f>
        <v/>
      </c>
      <c r="M12" s="14">
        <f>IF($A12="","",MAX(R12:X12))</f>
        <v/>
      </c>
      <c r="N12" s="25">
        <f>IF($A12="","",IF(M12&gt;Max_Consecutive,"OVER",""))</f>
        <v/>
      </c>
      <c r="O12" s="14">
        <f>IF($A12="","",IF(MIN(Z12:AE12)=999,"",MIN(Z12:AE12)))</f>
        <v/>
      </c>
      <c r="P12" s="25">
        <f>IF($A12="","",IF(AND(O12&lt;&gt;"",O12&lt;Rest_Hours),"SHORT",""))</f>
        <v/>
      </c>
      <c r="Q12" s="25">
        <f>IF($A12="","",IF(SUM(AG12:AM12)&gt;0,"CHECK",""))</f>
        <v/>
      </c>
      <c r="R12">
        <f>IF(SUMIF(ShiftCode,D12,ShiftHours)&gt;0,1,0)</f>
        <v/>
      </c>
      <c r="S12">
        <f>IF(SUMIF(ShiftCode,E12,ShiftHours)&gt;0,R12+1,0)</f>
        <v/>
      </c>
      <c r="T12">
        <f>IF(SUMIF(ShiftCode,F12,ShiftHours)&gt;0,S12+1,0)</f>
        <v/>
      </c>
      <c r="U12">
        <f>IF(SUMIF(ShiftCode,G12,ShiftHours)&gt;0,T12+1,0)</f>
        <v/>
      </c>
      <c r="V12">
        <f>IF(SUMIF(ShiftCode,H12,ShiftHours)&gt;0,U12+1,0)</f>
        <v/>
      </c>
      <c r="W12">
        <f>IF(SUMIF(ShiftCode,I12,ShiftHours)&gt;0,V12+1,0)</f>
        <v/>
      </c>
      <c r="X12">
        <f>IF(SUMIF(ShiftCode,J12,ShiftHours)&gt;0,W12+1,0)</f>
        <v/>
      </c>
      <c r="Z12">
        <f>IF(AND(SUMIF(ShiftCode,D12,ShiftHours)&gt;0,SUMIF(ShiftCode,E12,ShiftHours)&gt;0),24+VLOOKUP(E12,ShiftFull,5,FALSE)-VLOOKUP(D12,ShiftFull,6,FALSE),999)</f>
        <v/>
      </c>
      <c r="AA12">
        <f>IF(AND(SUMIF(ShiftCode,E12,ShiftHours)&gt;0,SUMIF(ShiftCode,F12,ShiftHours)&gt;0),24+VLOOKUP(F12,ShiftFull,5,FALSE)-VLOOKUP(E12,ShiftFull,6,FALSE),999)</f>
        <v/>
      </c>
      <c r="AB12">
        <f>IF(AND(SUMIF(ShiftCode,F12,ShiftHours)&gt;0,SUMIF(ShiftCode,G12,ShiftHours)&gt;0),24+VLOOKUP(G12,ShiftFull,5,FALSE)-VLOOKUP(F12,ShiftFull,6,FALSE),999)</f>
        <v/>
      </c>
      <c r="AC12">
        <f>IF(AND(SUMIF(ShiftCode,G12,ShiftHours)&gt;0,SUMIF(ShiftCode,H12,ShiftHours)&gt;0),24+VLOOKUP(H12,ShiftFull,5,FALSE)-VLOOKUP(G12,ShiftFull,6,FALSE),999)</f>
        <v/>
      </c>
      <c r="AD12">
        <f>IF(AND(SUMIF(ShiftCode,H12,ShiftHours)&gt;0,SUMIF(ShiftCode,I12,ShiftHours)&gt;0),24+VLOOKUP(I12,ShiftFull,5,FALSE)-VLOOKUP(H12,ShiftFull,6,FALSE),999)</f>
        <v/>
      </c>
      <c r="AE12">
        <f>IF(AND(SUMIF(ShiftCode,I12,ShiftHours)&gt;0,SUMIF(ShiftCode,J12,ShiftHours)&gt;0),24+VLOOKUP(J12,ShiftFull,5,FALSE)-VLOOKUP(I12,ShiftFull,6,FALSE),999)</f>
        <v/>
      </c>
      <c r="AG12">
        <f>IF(AND(SUMIF(ShiftCode,D12,ShiftHours)&gt;0,SUMPRODUCT((Leave!$A$2:$A$20=$A12)*(Leave!$B$2:$B$20&lt;=D$4)*(Leave!$C$2:$C$20&gt;=D$4))&gt;0),1,0)</f>
        <v/>
      </c>
      <c r="AH12">
        <f>IF(AND(SUMIF(ShiftCode,E12,ShiftHours)&gt;0,SUMPRODUCT((Leave!$A$2:$A$20=$A12)*(Leave!$B$2:$B$20&lt;=E$4)*(Leave!$C$2:$C$20&gt;=E$4))&gt;0),1,0)</f>
        <v/>
      </c>
      <c r="AI12">
        <f>IF(AND(SUMIF(ShiftCode,F12,ShiftHours)&gt;0,SUMPRODUCT((Leave!$A$2:$A$20=$A12)*(Leave!$B$2:$B$20&lt;=F$4)*(Leave!$C$2:$C$20&gt;=F$4))&gt;0),1,0)</f>
        <v/>
      </c>
      <c r="AJ12">
        <f>IF(AND(SUMIF(ShiftCode,G12,ShiftHours)&gt;0,SUMPRODUCT((Leave!$A$2:$A$20=$A12)*(Leave!$B$2:$B$20&lt;=G$4)*(Leave!$C$2:$C$20&gt;=G$4))&gt;0),1,0)</f>
        <v/>
      </c>
      <c r="AK12">
        <f>IF(AND(SUMIF(ShiftCode,H12,ShiftHours)&gt;0,SUMPRODUCT((Leave!$A$2:$A$20=$A12)*(Leave!$B$2:$B$20&lt;=H$4)*(Leave!$C$2:$C$20&gt;=H$4))&gt;0),1,0)</f>
        <v/>
      </c>
      <c r="AL12">
        <f>IF(AND(SUMIF(ShiftCode,I12,ShiftHours)&gt;0,SUMPRODUCT((Leave!$A$2:$A$20=$A12)*(Leave!$B$2:$B$20&lt;=I$4)*(Leave!$C$2:$C$20&gt;=I$4))&gt;0),1,0)</f>
        <v/>
      </c>
      <c r="AM12">
        <f>IF(AND(SUMIF(ShiftCode,J12,ShiftHours)&gt;0,SUMPRODUCT((Leave!$A$2:$A$20=$A12)*(Leave!$B$2:$B$20&lt;=J$4)*(Leave!$C$2:$C$20&gt;=J$4))&gt;0),1,0)</f>
        <v/>
      </c>
    </row>
    <row r="13">
      <c r="A13" s="15">
        <f>IF(Staff!A3="","",Staff!A3)</f>
        <v/>
      </c>
      <c r="B13" s="14">
        <f>IF(A13="","",VLOOKUP(A13,StaffTbl,2,FALSE))</f>
        <v/>
      </c>
      <c r="D13" s="9" t="inlineStr">
        <is>
          <t>D12</t>
        </is>
      </c>
      <c r="E13" s="9" t="inlineStr">
        <is>
          <t>WO</t>
        </is>
      </c>
      <c r="F13" s="9" t="inlineStr">
        <is>
          <t>SICK</t>
        </is>
      </c>
      <c r="G13" s="9" t="inlineStr">
        <is>
          <t>WO</t>
        </is>
      </c>
      <c r="H13" s="9" t="inlineStr">
        <is>
          <t>N12</t>
        </is>
      </c>
      <c r="I13" s="9" t="inlineStr">
        <is>
          <t>WO</t>
        </is>
      </c>
      <c r="J13" s="9" t="inlineStr">
        <is>
          <t>N12</t>
        </is>
      </c>
      <c r="K13" s="14">
        <f>IF($A13="","",SUMPRODUCT(SUMIF(ShiftCode,D13:J13,ShiftHours)))</f>
        <v/>
      </c>
      <c r="L13" s="25">
        <f>IF($A13="","",IF(K13&gt;OT_Threshold,"OVER",""))</f>
        <v/>
      </c>
      <c r="M13" s="14">
        <f>IF($A13="","",MAX(R13:X13))</f>
        <v/>
      </c>
      <c r="N13" s="25">
        <f>IF($A13="","",IF(M13&gt;Max_Consecutive,"OVER",""))</f>
        <v/>
      </c>
      <c r="O13" s="14">
        <f>IF($A13="","",IF(MIN(Z13:AE13)=999,"",MIN(Z13:AE13)))</f>
        <v/>
      </c>
      <c r="P13" s="25">
        <f>IF($A13="","",IF(AND(O13&lt;&gt;"",O13&lt;Rest_Hours),"SHORT",""))</f>
        <v/>
      </c>
      <c r="Q13" s="25">
        <f>IF($A13="","",IF(SUM(AG13:AM13)&gt;0,"CHECK",""))</f>
        <v/>
      </c>
      <c r="R13">
        <f>IF(SUMIF(ShiftCode,D13,ShiftHours)&gt;0,1,0)</f>
        <v/>
      </c>
      <c r="S13">
        <f>IF(SUMIF(ShiftCode,E13,ShiftHours)&gt;0,R13+1,0)</f>
        <v/>
      </c>
      <c r="T13">
        <f>IF(SUMIF(ShiftCode,F13,ShiftHours)&gt;0,S13+1,0)</f>
        <v/>
      </c>
      <c r="U13">
        <f>IF(SUMIF(ShiftCode,G13,ShiftHours)&gt;0,T13+1,0)</f>
        <v/>
      </c>
      <c r="V13">
        <f>IF(SUMIF(ShiftCode,H13,ShiftHours)&gt;0,U13+1,0)</f>
        <v/>
      </c>
      <c r="W13">
        <f>IF(SUMIF(ShiftCode,I13,ShiftHours)&gt;0,V13+1,0)</f>
        <v/>
      </c>
      <c r="X13">
        <f>IF(SUMIF(ShiftCode,J13,ShiftHours)&gt;0,W13+1,0)</f>
        <v/>
      </c>
      <c r="Z13">
        <f>IF(AND(SUMIF(ShiftCode,D13,ShiftHours)&gt;0,SUMIF(ShiftCode,E13,ShiftHours)&gt;0),24+VLOOKUP(E13,ShiftFull,5,FALSE)-VLOOKUP(D13,ShiftFull,6,FALSE),999)</f>
        <v/>
      </c>
      <c r="AA13">
        <f>IF(AND(SUMIF(ShiftCode,E13,ShiftHours)&gt;0,SUMIF(ShiftCode,F13,ShiftHours)&gt;0),24+VLOOKUP(F13,ShiftFull,5,FALSE)-VLOOKUP(E13,ShiftFull,6,FALSE),999)</f>
        <v/>
      </c>
      <c r="AB13">
        <f>IF(AND(SUMIF(ShiftCode,F13,ShiftHours)&gt;0,SUMIF(ShiftCode,G13,ShiftHours)&gt;0),24+VLOOKUP(G13,ShiftFull,5,FALSE)-VLOOKUP(F13,ShiftFull,6,FALSE),999)</f>
        <v/>
      </c>
      <c r="AC13">
        <f>IF(AND(SUMIF(ShiftCode,G13,ShiftHours)&gt;0,SUMIF(ShiftCode,H13,ShiftHours)&gt;0),24+VLOOKUP(H13,ShiftFull,5,FALSE)-VLOOKUP(G13,ShiftFull,6,FALSE),999)</f>
        <v/>
      </c>
      <c r="AD13">
        <f>IF(AND(SUMIF(ShiftCode,H13,ShiftHours)&gt;0,SUMIF(ShiftCode,I13,ShiftHours)&gt;0),24+VLOOKUP(I13,ShiftFull,5,FALSE)-VLOOKUP(H13,ShiftFull,6,FALSE),999)</f>
        <v/>
      </c>
      <c r="AE13">
        <f>IF(AND(SUMIF(ShiftCode,I13,ShiftHours)&gt;0,SUMIF(ShiftCode,J13,ShiftHours)&gt;0),24+VLOOKUP(J13,ShiftFull,5,FALSE)-VLOOKUP(I13,ShiftFull,6,FALSE),999)</f>
        <v/>
      </c>
      <c r="AG13">
        <f>IF(AND(SUMIF(ShiftCode,D13,ShiftHours)&gt;0,SUMPRODUCT((Leave!$A$2:$A$20=$A13)*(Leave!$B$2:$B$20&lt;=D$4)*(Leave!$C$2:$C$20&gt;=D$4))&gt;0),1,0)</f>
        <v/>
      </c>
      <c r="AH13">
        <f>IF(AND(SUMIF(ShiftCode,E13,ShiftHours)&gt;0,SUMPRODUCT((Leave!$A$2:$A$20=$A13)*(Leave!$B$2:$B$20&lt;=E$4)*(Leave!$C$2:$C$20&gt;=E$4))&gt;0),1,0)</f>
        <v/>
      </c>
      <c r="AI13">
        <f>IF(AND(SUMIF(ShiftCode,F13,ShiftHours)&gt;0,SUMPRODUCT((Leave!$A$2:$A$20=$A13)*(Leave!$B$2:$B$20&lt;=F$4)*(Leave!$C$2:$C$20&gt;=F$4))&gt;0),1,0)</f>
        <v/>
      </c>
      <c r="AJ13">
        <f>IF(AND(SUMIF(ShiftCode,G13,ShiftHours)&gt;0,SUMPRODUCT((Leave!$A$2:$A$20=$A13)*(Leave!$B$2:$B$20&lt;=G$4)*(Leave!$C$2:$C$20&gt;=G$4))&gt;0),1,0)</f>
        <v/>
      </c>
      <c r="AK13">
        <f>IF(AND(SUMIF(ShiftCode,H13,ShiftHours)&gt;0,SUMPRODUCT((Leave!$A$2:$A$20=$A13)*(Leave!$B$2:$B$20&lt;=H$4)*(Leave!$C$2:$C$20&gt;=H$4))&gt;0),1,0)</f>
        <v/>
      </c>
      <c r="AL13">
        <f>IF(AND(SUMIF(ShiftCode,I13,ShiftHours)&gt;0,SUMPRODUCT((Leave!$A$2:$A$20=$A13)*(Leave!$B$2:$B$20&lt;=I$4)*(Leave!$C$2:$C$20&gt;=I$4))&gt;0),1,0)</f>
        <v/>
      </c>
      <c r="AM13">
        <f>IF(AND(SUMIF(ShiftCode,J13,ShiftHours)&gt;0,SUMPRODUCT((Leave!$A$2:$A$20=$A13)*(Leave!$B$2:$B$20&lt;=J$4)*(Leave!$C$2:$C$20&gt;=J$4))&gt;0),1,0)</f>
        <v/>
      </c>
    </row>
    <row r="14">
      <c r="A14" s="15">
        <f>IF(Staff!A4="","",Staff!A4)</f>
        <v/>
      </c>
      <c r="B14" s="14">
        <f>IF(A14="","",VLOOKUP(A14,StaffTbl,2,FALSE))</f>
        <v/>
      </c>
      <c r="D14" s="9" t="inlineStr">
        <is>
          <t>D12</t>
        </is>
      </c>
      <c r="E14" s="9" t="inlineStr">
        <is>
          <t>WO</t>
        </is>
      </c>
      <c r="F14" s="9" t="inlineStr">
        <is>
          <t>WO</t>
        </is>
      </c>
      <c r="G14" s="9" t="inlineStr">
        <is>
          <t>D12</t>
        </is>
      </c>
      <c r="H14" s="9" t="inlineStr">
        <is>
          <t>WO</t>
        </is>
      </c>
      <c r="I14" s="9" t="inlineStr">
        <is>
          <t>WO</t>
        </is>
      </c>
      <c r="J14" s="9" t="inlineStr">
        <is>
          <t>D12</t>
        </is>
      </c>
      <c r="K14" s="14">
        <f>IF($A14="","",SUMPRODUCT(SUMIF(ShiftCode,D14:J14,ShiftHours)))</f>
        <v/>
      </c>
      <c r="L14" s="25">
        <f>IF($A14="","",IF(K14&gt;OT_Threshold,"OVER",""))</f>
        <v/>
      </c>
      <c r="M14" s="14">
        <f>IF($A14="","",MAX(R14:X14))</f>
        <v/>
      </c>
      <c r="N14" s="25">
        <f>IF($A14="","",IF(M14&gt;Max_Consecutive,"OVER",""))</f>
        <v/>
      </c>
      <c r="O14" s="14">
        <f>IF($A14="","",IF(MIN(Z14:AE14)=999,"",MIN(Z14:AE14)))</f>
        <v/>
      </c>
      <c r="P14" s="25">
        <f>IF($A14="","",IF(AND(O14&lt;&gt;"",O14&lt;Rest_Hours),"SHORT",""))</f>
        <v/>
      </c>
      <c r="Q14" s="25">
        <f>IF($A14="","",IF(SUM(AG14:AM14)&gt;0,"CHECK",""))</f>
        <v/>
      </c>
      <c r="R14">
        <f>IF(SUMIF(ShiftCode,D14,ShiftHours)&gt;0,1,0)</f>
        <v/>
      </c>
      <c r="S14">
        <f>IF(SUMIF(ShiftCode,E14,ShiftHours)&gt;0,R14+1,0)</f>
        <v/>
      </c>
      <c r="T14">
        <f>IF(SUMIF(ShiftCode,F14,ShiftHours)&gt;0,S14+1,0)</f>
        <v/>
      </c>
      <c r="U14">
        <f>IF(SUMIF(ShiftCode,G14,ShiftHours)&gt;0,T14+1,0)</f>
        <v/>
      </c>
      <c r="V14">
        <f>IF(SUMIF(ShiftCode,H14,ShiftHours)&gt;0,U14+1,0)</f>
        <v/>
      </c>
      <c r="W14">
        <f>IF(SUMIF(ShiftCode,I14,ShiftHours)&gt;0,V14+1,0)</f>
        <v/>
      </c>
      <c r="X14">
        <f>IF(SUMIF(ShiftCode,J14,ShiftHours)&gt;0,W14+1,0)</f>
        <v/>
      </c>
      <c r="Z14">
        <f>IF(AND(SUMIF(ShiftCode,D14,ShiftHours)&gt;0,SUMIF(ShiftCode,E14,ShiftHours)&gt;0),24+VLOOKUP(E14,ShiftFull,5,FALSE)-VLOOKUP(D14,ShiftFull,6,FALSE),999)</f>
        <v/>
      </c>
      <c r="AA14">
        <f>IF(AND(SUMIF(ShiftCode,E14,ShiftHours)&gt;0,SUMIF(ShiftCode,F14,ShiftHours)&gt;0),24+VLOOKUP(F14,ShiftFull,5,FALSE)-VLOOKUP(E14,ShiftFull,6,FALSE),999)</f>
        <v/>
      </c>
      <c r="AB14">
        <f>IF(AND(SUMIF(ShiftCode,F14,ShiftHours)&gt;0,SUMIF(ShiftCode,G14,ShiftHours)&gt;0),24+VLOOKUP(G14,ShiftFull,5,FALSE)-VLOOKUP(F14,ShiftFull,6,FALSE),999)</f>
        <v/>
      </c>
      <c r="AC14">
        <f>IF(AND(SUMIF(ShiftCode,G14,ShiftHours)&gt;0,SUMIF(ShiftCode,H14,ShiftHours)&gt;0),24+VLOOKUP(H14,ShiftFull,5,FALSE)-VLOOKUP(G14,ShiftFull,6,FALSE),999)</f>
        <v/>
      </c>
      <c r="AD14">
        <f>IF(AND(SUMIF(ShiftCode,H14,ShiftHours)&gt;0,SUMIF(ShiftCode,I14,ShiftHours)&gt;0),24+VLOOKUP(I14,ShiftFull,5,FALSE)-VLOOKUP(H14,ShiftFull,6,FALSE),999)</f>
        <v/>
      </c>
      <c r="AE14">
        <f>IF(AND(SUMIF(ShiftCode,I14,ShiftHours)&gt;0,SUMIF(ShiftCode,J14,ShiftHours)&gt;0),24+VLOOKUP(J14,ShiftFull,5,FALSE)-VLOOKUP(I14,ShiftFull,6,FALSE),999)</f>
        <v/>
      </c>
      <c r="AG14">
        <f>IF(AND(SUMIF(ShiftCode,D14,ShiftHours)&gt;0,SUMPRODUCT((Leave!$A$2:$A$20=$A14)*(Leave!$B$2:$B$20&lt;=D$4)*(Leave!$C$2:$C$20&gt;=D$4))&gt;0),1,0)</f>
        <v/>
      </c>
      <c r="AH14">
        <f>IF(AND(SUMIF(ShiftCode,E14,ShiftHours)&gt;0,SUMPRODUCT((Leave!$A$2:$A$20=$A14)*(Leave!$B$2:$B$20&lt;=E$4)*(Leave!$C$2:$C$20&gt;=E$4))&gt;0),1,0)</f>
        <v/>
      </c>
      <c r="AI14">
        <f>IF(AND(SUMIF(ShiftCode,F14,ShiftHours)&gt;0,SUMPRODUCT((Leave!$A$2:$A$20=$A14)*(Leave!$B$2:$B$20&lt;=F$4)*(Leave!$C$2:$C$20&gt;=F$4))&gt;0),1,0)</f>
        <v/>
      </c>
      <c r="AJ14">
        <f>IF(AND(SUMIF(ShiftCode,G14,ShiftHours)&gt;0,SUMPRODUCT((Leave!$A$2:$A$20=$A14)*(Leave!$B$2:$B$20&lt;=G$4)*(Leave!$C$2:$C$20&gt;=G$4))&gt;0),1,0)</f>
        <v/>
      </c>
      <c r="AK14">
        <f>IF(AND(SUMIF(ShiftCode,H14,ShiftHours)&gt;0,SUMPRODUCT((Leave!$A$2:$A$20=$A14)*(Leave!$B$2:$B$20&lt;=H$4)*(Leave!$C$2:$C$20&gt;=H$4))&gt;0),1,0)</f>
        <v/>
      </c>
      <c r="AL14">
        <f>IF(AND(SUMIF(ShiftCode,I14,ShiftHours)&gt;0,SUMPRODUCT((Leave!$A$2:$A$20=$A14)*(Leave!$B$2:$B$20&lt;=I$4)*(Leave!$C$2:$C$20&gt;=I$4))&gt;0),1,0)</f>
        <v/>
      </c>
      <c r="AM14">
        <f>IF(AND(SUMIF(ShiftCode,J14,ShiftHours)&gt;0,SUMPRODUCT((Leave!$A$2:$A$20=$A14)*(Leave!$B$2:$B$20&lt;=J$4)*(Leave!$C$2:$C$20&gt;=J$4))&gt;0),1,0)</f>
        <v/>
      </c>
    </row>
    <row r="15">
      <c r="A15" s="15">
        <f>IF(Staff!A5="","",Staff!A5)</f>
        <v/>
      </c>
      <c r="B15" s="14">
        <f>IF(A15="","",VLOOKUP(A15,StaffTbl,2,FALSE))</f>
        <v/>
      </c>
      <c r="D15" s="9" t="inlineStr">
        <is>
          <t>D12</t>
        </is>
      </c>
      <c r="E15" s="9" t="inlineStr">
        <is>
          <t>WO</t>
        </is>
      </c>
      <c r="F15" s="9" t="inlineStr">
        <is>
          <t>WO</t>
        </is>
      </c>
      <c r="G15" s="9" t="inlineStr">
        <is>
          <t>D12</t>
        </is>
      </c>
      <c r="H15" s="9" t="inlineStr">
        <is>
          <t>WO</t>
        </is>
      </c>
      <c r="I15" s="9" t="inlineStr">
        <is>
          <t>WO</t>
        </is>
      </c>
      <c r="J15" s="9" t="inlineStr">
        <is>
          <t>D12</t>
        </is>
      </c>
      <c r="K15" s="14">
        <f>IF($A15="","",SUMPRODUCT(SUMIF(ShiftCode,D15:J15,ShiftHours)))</f>
        <v/>
      </c>
      <c r="L15" s="25">
        <f>IF($A15="","",IF(K15&gt;OT_Threshold,"OVER",""))</f>
        <v/>
      </c>
      <c r="M15" s="14">
        <f>IF($A15="","",MAX(R15:X15))</f>
        <v/>
      </c>
      <c r="N15" s="25">
        <f>IF($A15="","",IF(M15&gt;Max_Consecutive,"OVER",""))</f>
        <v/>
      </c>
      <c r="O15" s="14">
        <f>IF($A15="","",IF(MIN(Z15:AE15)=999,"",MIN(Z15:AE15)))</f>
        <v/>
      </c>
      <c r="P15" s="25">
        <f>IF($A15="","",IF(AND(O15&lt;&gt;"",O15&lt;Rest_Hours),"SHORT",""))</f>
        <v/>
      </c>
      <c r="Q15" s="25">
        <f>IF($A15="","",IF(SUM(AG15:AM15)&gt;0,"CHECK",""))</f>
        <v/>
      </c>
      <c r="R15">
        <f>IF(SUMIF(ShiftCode,D15,ShiftHours)&gt;0,1,0)</f>
        <v/>
      </c>
      <c r="S15">
        <f>IF(SUMIF(ShiftCode,E15,ShiftHours)&gt;0,R15+1,0)</f>
        <v/>
      </c>
      <c r="T15">
        <f>IF(SUMIF(ShiftCode,F15,ShiftHours)&gt;0,S15+1,0)</f>
        <v/>
      </c>
      <c r="U15">
        <f>IF(SUMIF(ShiftCode,G15,ShiftHours)&gt;0,T15+1,0)</f>
        <v/>
      </c>
      <c r="V15">
        <f>IF(SUMIF(ShiftCode,H15,ShiftHours)&gt;0,U15+1,0)</f>
        <v/>
      </c>
      <c r="W15">
        <f>IF(SUMIF(ShiftCode,I15,ShiftHours)&gt;0,V15+1,0)</f>
        <v/>
      </c>
      <c r="X15">
        <f>IF(SUMIF(ShiftCode,J15,ShiftHours)&gt;0,W15+1,0)</f>
        <v/>
      </c>
      <c r="Z15">
        <f>IF(AND(SUMIF(ShiftCode,D15,ShiftHours)&gt;0,SUMIF(ShiftCode,E15,ShiftHours)&gt;0),24+VLOOKUP(E15,ShiftFull,5,FALSE)-VLOOKUP(D15,ShiftFull,6,FALSE),999)</f>
        <v/>
      </c>
      <c r="AA15">
        <f>IF(AND(SUMIF(ShiftCode,E15,ShiftHours)&gt;0,SUMIF(ShiftCode,F15,ShiftHours)&gt;0),24+VLOOKUP(F15,ShiftFull,5,FALSE)-VLOOKUP(E15,ShiftFull,6,FALSE),999)</f>
        <v/>
      </c>
      <c r="AB15">
        <f>IF(AND(SUMIF(ShiftCode,F15,ShiftHours)&gt;0,SUMIF(ShiftCode,G15,ShiftHours)&gt;0),24+VLOOKUP(G15,ShiftFull,5,FALSE)-VLOOKUP(F15,ShiftFull,6,FALSE),999)</f>
        <v/>
      </c>
      <c r="AC15">
        <f>IF(AND(SUMIF(ShiftCode,G15,ShiftHours)&gt;0,SUMIF(ShiftCode,H15,ShiftHours)&gt;0),24+VLOOKUP(H15,ShiftFull,5,FALSE)-VLOOKUP(G15,ShiftFull,6,FALSE),999)</f>
        <v/>
      </c>
      <c r="AD15">
        <f>IF(AND(SUMIF(ShiftCode,H15,ShiftHours)&gt;0,SUMIF(ShiftCode,I15,ShiftHours)&gt;0),24+VLOOKUP(I15,ShiftFull,5,FALSE)-VLOOKUP(H15,ShiftFull,6,FALSE),999)</f>
        <v/>
      </c>
      <c r="AE15">
        <f>IF(AND(SUMIF(ShiftCode,I15,ShiftHours)&gt;0,SUMIF(ShiftCode,J15,ShiftHours)&gt;0),24+VLOOKUP(J15,ShiftFull,5,FALSE)-VLOOKUP(I15,ShiftFull,6,FALSE),999)</f>
        <v/>
      </c>
      <c r="AG15">
        <f>IF(AND(SUMIF(ShiftCode,D15,ShiftHours)&gt;0,SUMPRODUCT((Leave!$A$2:$A$20=$A15)*(Leave!$B$2:$B$20&lt;=D$4)*(Leave!$C$2:$C$20&gt;=D$4))&gt;0),1,0)</f>
        <v/>
      </c>
      <c r="AH15">
        <f>IF(AND(SUMIF(ShiftCode,E15,ShiftHours)&gt;0,SUMPRODUCT((Leave!$A$2:$A$20=$A15)*(Leave!$B$2:$B$20&lt;=E$4)*(Leave!$C$2:$C$20&gt;=E$4))&gt;0),1,0)</f>
        <v/>
      </c>
      <c r="AI15">
        <f>IF(AND(SUMIF(ShiftCode,F15,ShiftHours)&gt;0,SUMPRODUCT((Leave!$A$2:$A$20=$A15)*(Leave!$B$2:$B$20&lt;=F$4)*(Leave!$C$2:$C$20&gt;=F$4))&gt;0),1,0)</f>
        <v/>
      </c>
      <c r="AJ15">
        <f>IF(AND(SUMIF(ShiftCode,G15,ShiftHours)&gt;0,SUMPRODUCT((Leave!$A$2:$A$20=$A15)*(Leave!$B$2:$B$20&lt;=G$4)*(Leave!$C$2:$C$20&gt;=G$4))&gt;0),1,0)</f>
        <v/>
      </c>
      <c r="AK15">
        <f>IF(AND(SUMIF(ShiftCode,H15,ShiftHours)&gt;0,SUMPRODUCT((Leave!$A$2:$A$20=$A15)*(Leave!$B$2:$B$20&lt;=H$4)*(Leave!$C$2:$C$20&gt;=H$4))&gt;0),1,0)</f>
        <v/>
      </c>
      <c r="AL15">
        <f>IF(AND(SUMIF(ShiftCode,I15,ShiftHours)&gt;0,SUMPRODUCT((Leave!$A$2:$A$20=$A15)*(Leave!$B$2:$B$20&lt;=I$4)*(Leave!$C$2:$C$20&gt;=I$4))&gt;0),1,0)</f>
        <v/>
      </c>
      <c r="AM15">
        <f>IF(AND(SUMIF(ShiftCode,J15,ShiftHours)&gt;0,SUMPRODUCT((Leave!$A$2:$A$20=$A15)*(Leave!$B$2:$B$20&lt;=J$4)*(Leave!$C$2:$C$20&gt;=J$4))&gt;0),1,0)</f>
        <v/>
      </c>
    </row>
    <row r="16">
      <c r="A16" s="15">
        <f>IF(Staff!A6="","",Staff!A6)</f>
        <v/>
      </c>
      <c r="B16" s="14">
        <f>IF(A16="","",VLOOKUP(A16,StaffTbl,2,FALSE))</f>
        <v/>
      </c>
      <c r="D16" s="9" t="inlineStr">
        <is>
          <t>D12</t>
        </is>
      </c>
      <c r="E16" s="9" t="inlineStr">
        <is>
          <t>D12</t>
        </is>
      </c>
      <c r="F16" s="9" t="inlineStr">
        <is>
          <t>D12</t>
        </is>
      </c>
      <c r="G16" s="9" t="inlineStr">
        <is>
          <t>D12</t>
        </is>
      </c>
      <c r="H16" s="9" t="inlineStr">
        <is>
          <t>WO</t>
        </is>
      </c>
      <c r="I16" s="9" t="inlineStr">
        <is>
          <t>WO</t>
        </is>
      </c>
      <c r="J16" s="9" t="inlineStr">
        <is>
          <t>WO</t>
        </is>
      </c>
      <c r="K16" s="14">
        <f>IF($A16="","",SUMPRODUCT(SUMIF(ShiftCode,D16:J16,ShiftHours)))</f>
        <v/>
      </c>
      <c r="L16" s="25">
        <f>IF($A16="","",IF(K16&gt;OT_Threshold,"OVER",""))</f>
        <v/>
      </c>
      <c r="M16" s="14">
        <f>IF($A16="","",MAX(R16:X16))</f>
        <v/>
      </c>
      <c r="N16" s="25">
        <f>IF($A16="","",IF(M16&gt;Max_Consecutive,"OVER",""))</f>
        <v/>
      </c>
      <c r="O16" s="14">
        <f>IF($A16="","",IF(MIN(Z16:AE16)=999,"",MIN(Z16:AE16)))</f>
        <v/>
      </c>
      <c r="P16" s="25">
        <f>IF($A16="","",IF(AND(O16&lt;&gt;"",O16&lt;Rest_Hours),"SHORT",""))</f>
        <v/>
      </c>
      <c r="Q16" s="25">
        <f>IF($A16="","",IF(SUM(AG16:AM16)&gt;0,"CHECK",""))</f>
        <v/>
      </c>
      <c r="R16">
        <f>IF(SUMIF(ShiftCode,D16,ShiftHours)&gt;0,1,0)</f>
        <v/>
      </c>
      <c r="S16">
        <f>IF(SUMIF(ShiftCode,E16,ShiftHours)&gt;0,R16+1,0)</f>
        <v/>
      </c>
      <c r="T16">
        <f>IF(SUMIF(ShiftCode,F16,ShiftHours)&gt;0,S16+1,0)</f>
        <v/>
      </c>
      <c r="U16">
        <f>IF(SUMIF(ShiftCode,G16,ShiftHours)&gt;0,T16+1,0)</f>
        <v/>
      </c>
      <c r="V16">
        <f>IF(SUMIF(ShiftCode,H16,ShiftHours)&gt;0,U16+1,0)</f>
        <v/>
      </c>
      <c r="W16">
        <f>IF(SUMIF(ShiftCode,I16,ShiftHours)&gt;0,V16+1,0)</f>
        <v/>
      </c>
      <c r="X16">
        <f>IF(SUMIF(ShiftCode,J16,ShiftHours)&gt;0,W16+1,0)</f>
        <v/>
      </c>
      <c r="Z16">
        <f>IF(AND(SUMIF(ShiftCode,D16,ShiftHours)&gt;0,SUMIF(ShiftCode,E16,ShiftHours)&gt;0),24+VLOOKUP(E16,ShiftFull,5,FALSE)-VLOOKUP(D16,ShiftFull,6,FALSE),999)</f>
        <v/>
      </c>
      <c r="AA16">
        <f>IF(AND(SUMIF(ShiftCode,E16,ShiftHours)&gt;0,SUMIF(ShiftCode,F16,ShiftHours)&gt;0),24+VLOOKUP(F16,ShiftFull,5,FALSE)-VLOOKUP(E16,ShiftFull,6,FALSE),999)</f>
        <v/>
      </c>
      <c r="AB16">
        <f>IF(AND(SUMIF(ShiftCode,F16,ShiftHours)&gt;0,SUMIF(ShiftCode,G16,ShiftHours)&gt;0),24+VLOOKUP(G16,ShiftFull,5,FALSE)-VLOOKUP(F16,ShiftFull,6,FALSE),999)</f>
        <v/>
      </c>
      <c r="AC16">
        <f>IF(AND(SUMIF(ShiftCode,G16,ShiftHours)&gt;0,SUMIF(ShiftCode,H16,ShiftHours)&gt;0),24+VLOOKUP(H16,ShiftFull,5,FALSE)-VLOOKUP(G16,ShiftFull,6,FALSE),999)</f>
        <v/>
      </c>
      <c r="AD16">
        <f>IF(AND(SUMIF(ShiftCode,H16,ShiftHours)&gt;0,SUMIF(ShiftCode,I16,ShiftHours)&gt;0),24+VLOOKUP(I16,ShiftFull,5,FALSE)-VLOOKUP(H16,ShiftFull,6,FALSE),999)</f>
        <v/>
      </c>
      <c r="AE16">
        <f>IF(AND(SUMIF(ShiftCode,I16,ShiftHours)&gt;0,SUMIF(ShiftCode,J16,ShiftHours)&gt;0),24+VLOOKUP(J16,ShiftFull,5,FALSE)-VLOOKUP(I16,ShiftFull,6,FALSE),999)</f>
        <v/>
      </c>
      <c r="AG16">
        <f>IF(AND(SUMIF(ShiftCode,D16,ShiftHours)&gt;0,SUMPRODUCT((Leave!$A$2:$A$20=$A16)*(Leave!$B$2:$B$20&lt;=D$4)*(Leave!$C$2:$C$20&gt;=D$4))&gt;0),1,0)</f>
        <v/>
      </c>
      <c r="AH16">
        <f>IF(AND(SUMIF(ShiftCode,E16,ShiftHours)&gt;0,SUMPRODUCT((Leave!$A$2:$A$20=$A16)*(Leave!$B$2:$B$20&lt;=E$4)*(Leave!$C$2:$C$20&gt;=E$4))&gt;0),1,0)</f>
        <v/>
      </c>
      <c r="AI16">
        <f>IF(AND(SUMIF(ShiftCode,F16,ShiftHours)&gt;0,SUMPRODUCT((Leave!$A$2:$A$20=$A16)*(Leave!$B$2:$B$20&lt;=F$4)*(Leave!$C$2:$C$20&gt;=F$4))&gt;0),1,0)</f>
        <v/>
      </c>
      <c r="AJ16">
        <f>IF(AND(SUMIF(ShiftCode,G16,ShiftHours)&gt;0,SUMPRODUCT((Leave!$A$2:$A$20=$A16)*(Leave!$B$2:$B$20&lt;=G$4)*(Leave!$C$2:$C$20&gt;=G$4))&gt;0),1,0)</f>
        <v/>
      </c>
      <c r="AK16">
        <f>IF(AND(SUMIF(ShiftCode,H16,ShiftHours)&gt;0,SUMPRODUCT((Leave!$A$2:$A$20=$A16)*(Leave!$B$2:$B$20&lt;=H$4)*(Leave!$C$2:$C$20&gt;=H$4))&gt;0),1,0)</f>
        <v/>
      </c>
      <c r="AL16">
        <f>IF(AND(SUMIF(ShiftCode,I16,ShiftHours)&gt;0,SUMPRODUCT((Leave!$A$2:$A$20=$A16)*(Leave!$B$2:$B$20&lt;=I$4)*(Leave!$C$2:$C$20&gt;=I$4))&gt;0),1,0)</f>
        <v/>
      </c>
      <c r="AM16">
        <f>IF(AND(SUMIF(ShiftCode,J16,ShiftHours)&gt;0,SUMPRODUCT((Leave!$A$2:$A$20=$A16)*(Leave!$B$2:$B$20&lt;=J$4)*(Leave!$C$2:$C$20&gt;=J$4))&gt;0),1,0)</f>
        <v/>
      </c>
    </row>
    <row r="17">
      <c r="A17" s="15">
        <f>IF(Staff!A7="","",Staff!A7)</f>
        <v/>
      </c>
      <c r="B17" s="14">
        <f>IF(A17="","",VLOOKUP(A17,StaffTbl,2,FALSE))</f>
        <v/>
      </c>
      <c r="D17" s="9" t="inlineStr">
        <is>
          <t>D8</t>
        </is>
      </c>
      <c r="E17" s="9" t="inlineStr">
        <is>
          <t>D8</t>
        </is>
      </c>
      <c r="F17" s="9" t="inlineStr">
        <is>
          <t>D8</t>
        </is>
      </c>
      <c r="G17" s="9" t="inlineStr">
        <is>
          <t>D8</t>
        </is>
      </c>
      <c r="H17" s="9" t="inlineStr">
        <is>
          <t>D8</t>
        </is>
      </c>
      <c r="I17" s="9" t="inlineStr">
        <is>
          <t>D8</t>
        </is>
      </c>
      <c r="J17" s="9" t="inlineStr">
        <is>
          <t>WO</t>
        </is>
      </c>
      <c r="K17" s="14">
        <f>IF($A17="","",SUMPRODUCT(SUMIF(ShiftCode,D17:J17,ShiftHours)))</f>
        <v/>
      </c>
      <c r="L17" s="25">
        <f>IF($A17="","",IF(K17&gt;OT_Threshold,"OVER",""))</f>
        <v/>
      </c>
      <c r="M17" s="14">
        <f>IF($A17="","",MAX(R17:X17))</f>
        <v/>
      </c>
      <c r="N17" s="25">
        <f>IF($A17="","",IF(M17&gt;Max_Consecutive,"OVER",""))</f>
        <v/>
      </c>
      <c r="O17" s="14">
        <f>IF($A17="","",IF(MIN(Z17:AE17)=999,"",MIN(Z17:AE17)))</f>
        <v/>
      </c>
      <c r="P17" s="25">
        <f>IF($A17="","",IF(AND(O17&lt;&gt;"",O17&lt;Rest_Hours),"SHORT",""))</f>
        <v/>
      </c>
      <c r="Q17" s="25">
        <f>IF($A17="","",IF(SUM(AG17:AM17)&gt;0,"CHECK",""))</f>
        <v/>
      </c>
      <c r="R17">
        <f>IF(SUMIF(ShiftCode,D17,ShiftHours)&gt;0,1,0)</f>
        <v/>
      </c>
      <c r="S17">
        <f>IF(SUMIF(ShiftCode,E17,ShiftHours)&gt;0,R17+1,0)</f>
        <v/>
      </c>
      <c r="T17">
        <f>IF(SUMIF(ShiftCode,F17,ShiftHours)&gt;0,S17+1,0)</f>
        <v/>
      </c>
      <c r="U17">
        <f>IF(SUMIF(ShiftCode,G17,ShiftHours)&gt;0,T17+1,0)</f>
        <v/>
      </c>
      <c r="V17">
        <f>IF(SUMIF(ShiftCode,H17,ShiftHours)&gt;0,U17+1,0)</f>
        <v/>
      </c>
      <c r="W17">
        <f>IF(SUMIF(ShiftCode,I17,ShiftHours)&gt;0,V17+1,0)</f>
        <v/>
      </c>
      <c r="X17">
        <f>IF(SUMIF(ShiftCode,J17,ShiftHours)&gt;0,W17+1,0)</f>
        <v/>
      </c>
      <c r="Z17">
        <f>IF(AND(SUMIF(ShiftCode,D17,ShiftHours)&gt;0,SUMIF(ShiftCode,E17,ShiftHours)&gt;0),24+VLOOKUP(E17,ShiftFull,5,FALSE)-VLOOKUP(D17,ShiftFull,6,FALSE),999)</f>
        <v/>
      </c>
      <c r="AA17">
        <f>IF(AND(SUMIF(ShiftCode,E17,ShiftHours)&gt;0,SUMIF(ShiftCode,F17,ShiftHours)&gt;0),24+VLOOKUP(F17,ShiftFull,5,FALSE)-VLOOKUP(E17,ShiftFull,6,FALSE),999)</f>
        <v/>
      </c>
      <c r="AB17">
        <f>IF(AND(SUMIF(ShiftCode,F17,ShiftHours)&gt;0,SUMIF(ShiftCode,G17,ShiftHours)&gt;0),24+VLOOKUP(G17,ShiftFull,5,FALSE)-VLOOKUP(F17,ShiftFull,6,FALSE),999)</f>
        <v/>
      </c>
      <c r="AC17">
        <f>IF(AND(SUMIF(ShiftCode,G17,ShiftHours)&gt;0,SUMIF(ShiftCode,H17,ShiftHours)&gt;0),24+VLOOKUP(H17,ShiftFull,5,FALSE)-VLOOKUP(G17,ShiftFull,6,FALSE),999)</f>
        <v/>
      </c>
      <c r="AD17">
        <f>IF(AND(SUMIF(ShiftCode,H17,ShiftHours)&gt;0,SUMIF(ShiftCode,I17,ShiftHours)&gt;0),24+VLOOKUP(I17,ShiftFull,5,FALSE)-VLOOKUP(H17,ShiftFull,6,FALSE),999)</f>
        <v/>
      </c>
      <c r="AE17">
        <f>IF(AND(SUMIF(ShiftCode,I17,ShiftHours)&gt;0,SUMIF(ShiftCode,J17,ShiftHours)&gt;0),24+VLOOKUP(J17,ShiftFull,5,FALSE)-VLOOKUP(I17,ShiftFull,6,FALSE),999)</f>
        <v/>
      </c>
      <c r="AG17">
        <f>IF(AND(SUMIF(ShiftCode,D17,ShiftHours)&gt;0,SUMPRODUCT((Leave!$A$2:$A$20=$A17)*(Leave!$B$2:$B$20&lt;=D$4)*(Leave!$C$2:$C$20&gt;=D$4))&gt;0),1,0)</f>
        <v/>
      </c>
      <c r="AH17">
        <f>IF(AND(SUMIF(ShiftCode,E17,ShiftHours)&gt;0,SUMPRODUCT((Leave!$A$2:$A$20=$A17)*(Leave!$B$2:$B$20&lt;=E$4)*(Leave!$C$2:$C$20&gt;=E$4))&gt;0),1,0)</f>
        <v/>
      </c>
      <c r="AI17">
        <f>IF(AND(SUMIF(ShiftCode,F17,ShiftHours)&gt;0,SUMPRODUCT((Leave!$A$2:$A$20=$A17)*(Leave!$B$2:$B$20&lt;=F$4)*(Leave!$C$2:$C$20&gt;=F$4))&gt;0),1,0)</f>
        <v/>
      </c>
      <c r="AJ17">
        <f>IF(AND(SUMIF(ShiftCode,G17,ShiftHours)&gt;0,SUMPRODUCT((Leave!$A$2:$A$20=$A17)*(Leave!$B$2:$B$20&lt;=G$4)*(Leave!$C$2:$C$20&gt;=G$4))&gt;0),1,0)</f>
        <v/>
      </c>
      <c r="AK17">
        <f>IF(AND(SUMIF(ShiftCode,H17,ShiftHours)&gt;0,SUMPRODUCT((Leave!$A$2:$A$20=$A17)*(Leave!$B$2:$B$20&lt;=H$4)*(Leave!$C$2:$C$20&gt;=H$4))&gt;0),1,0)</f>
        <v/>
      </c>
      <c r="AL17">
        <f>IF(AND(SUMIF(ShiftCode,I17,ShiftHours)&gt;0,SUMPRODUCT((Leave!$A$2:$A$20=$A17)*(Leave!$B$2:$B$20&lt;=I$4)*(Leave!$C$2:$C$20&gt;=I$4))&gt;0),1,0)</f>
        <v/>
      </c>
      <c r="AM17">
        <f>IF(AND(SUMIF(ShiftCode,J17,ShiftHours)&gt;0,SUMPRODUCT((Leave!$A$2:$A$20=$A17)*(Leave!$B$2:$B$20&lt;=J$4)*(Leave!$C$2:$C$20&gt;=J$4))&gt;0),1,0)</f>
        <v/>
      </c>
    </row>
    <row r="18">
      <c r="A18" s="15">
        <f>IF(Staff!A8="","",Staff!A8)</f>
        <v/>
      </c>
      <c r="B18" s="14">
        <f>IF(A18="","",VLOOKUP(A18,StaffTbl,2,FALSE))</f>
        <v/>
      </c>
      <c r="D18" s="9" t="inlineStr">
        <is>
          <t>N12</t>
        </is>
      </c>
      <c r="E18" s="9" t="inlineStr">
        <is>
          <t>D12</t>
        </is>
      </c>
      <c r="F18" s="9" t="inlineStr">
        <is>
          <t>WO</t>
        </is>
      </c>
      <c r="G18" s="9" t="inlineStr">
        <is>
          <t>WO</t>
        </is>
      </c>
      <c r="H18" s="9" t="inlineStr">
        <is>
          <t>N12</t>
        </is>
      </c>
      <c r="I18" s="9" t="inlineStr">
        <is>
          <t>WO</t>
        </is>
      </c>
      <c r="J18" s="9" t="inlineStr">
        <is>
          <t>WO</t>
        </is>
      </c>
      <c r="K18" s="14">
        <f>IF($A18="","",SUMPRODUCT(SUMIF(ShiftCode,D18:J18,ShiftHours)))</f>
        <v/>
      </c>
      <c r="L18" s="25">
        <f>IF($A18="","",IF(K18&gt;OT_Threshold,"OVER",""))</f>
        <v/>
      </c>
      <c r="M18" s="14">
        <f>IF($A18="","",MAX(R18:X18))</f>
        <v/>
      </c>
      <c r="N18" s="25">
        <f>IF($A18="","",IF(M18&gt;Max_Consecutive,"OVER",""))</f>
        <v/>
      </c>
      <c r="O18" s="14">
        <f>IF($A18="","",IF(MIN(Z18:AE18)=999,"",MIN(Z18:AE18)))</f>
        <v/>
      </c>
      <c r="P18" s="25">
        <f>IF($A18="","",IF(AND(O18&lt;&gt;"",O18&lt;Rest_Hours),"SHORT",""))</f>
        <v/>
      </c>
      <c r="Q18" s="25">
        <f>IF($A18="","",IF(SUM(AG18:AM18)&gt;0,"CHECK",""))</f>
        <v/>
      </c>
      <c r="R18">
        <f>IF(SUMIF(ShiftCode,D18,ShiftHours)&gt;0,1,0)</f>
        <v/>
      </c>
      <c r="S18">
        <f>IF(SUMIF(ShiftCode,E18,ShiftHours)&gt;0,R18+1,0)</f>
        <v/>
      </c>
      <c r="T18">
        <f>IF(SUMIF(ShiftCode,F18,ShiftHours)&gt;0,S18+1,0)</f>
        <v/>
      </c>
      <c r="U18">
        <f>IF(SUMIF(ShiftCode,G18,ShiftHours)&gt;0,T18+1,0)</f>
        <v/>
      </c>
      <c r="V18">
        <f>IF(SUMIF(ShiftCode,H18,ShiftHours)&gt;0,U18+1,0)</f>
        <v/>
      </c>
      <c r="W18">
        <f>IF(SUMIF(ShiftCode,I18,ShiftHours)&gt;0,V18+1,0)</f>
        <v/>
      </c>
      <c r="X18">
        <f>IF(SUMIF(ShiftCode,J18,ShiftHours)&gt;0,W18+1,0)</f>
        <v/>
      </c>
      <c r="Z18">
        <f>IF(AND(SUMIF(ShiftCode,D18,ShiftHours)&gt;0,SUMIF(ShiftCode,E18,ShiftHours)&gt;0),24+VLOOKUP(E18,ShiftFull,5,FALSE)-VLOOKUP(D18,ShiftFull,6,FALSE),999)</f>
        <v/>
      </c>
      <c r="AA18">
        <f>IF(AND(SUMIF(ShiftCode,E18,ShiftHours)&gt;0,SUMIF(ShiftCode,F18,ShiftHours)&gt;0),24+VLOOKUP(F18,ShiftFull,5,FALSE)-VLOOKUP(E18,ShiftFull,6,FALSE),999)</f>
        <v/>
      </c>
      <c r="AB18">
        <f>IF(AND(SUMIF(ShiftCode,F18,ShiftHours)&gt;0,SUMIF(ShiftCode,G18,ShiftHours)&gt;0),24+VLOOKUP(G18,ShiftFull,5,FALSE)-VLOOKUP(F18,ShiftFull,6,FALSE),999)</f>
        <v/>
      </c>
      <c r="AC18">
        <f>IF(AND(SUMIF(ShiftCode,G18,ShiftHours)&gt;0,SUMIF(ShiftCode,H18,ShiftHours)&gt;0),24+VLOOKUP(H18,ShiftFull,5,FALSE)-VLOOKUP(G18,ShiftFull,6,FALSE),999)</f>
        <v/>
      </c>
      <c r="AD18">
        <f>IF(AND(SUMIF(ShiftCode,H18,ShiftHours)&gt;0,SUMIF(ShiftCode,I18,ShiftHours)&gt;0),24+VLOOKUP(I18,ShiftFull,5,FALSE)-VLOOKUP(H18,ShiftFull,6,FALSE),999)</f>
        <v/>
      </c>
      <c r="AE18">
        <f>IF(AND(SUMIF(ShiftCode,I18,ShiftHours)&gt;0,SUMIF(ShiftCode,J18,ShiftHours)&gt;0),24+VLOOKUP(J18,ShiftFull,5,FALSE)-VLOOKUP(I18,ShiftFull,6,FALSE),999)</f>
        <v/>
      </c>
      <c r="AG18">
        <f>IF(AND(SUMIF(ShiftCode,D18,ShiftHours)&gt;0,SUMPRODUCT((Leave!$A$2:$A$20=$A18)*(Leave!$B$2:$B$20&lt;=D$4)*(Leave!$C$2:$C$20&gt;=D$4))&gt;0),1,0)</f>
        <v/>
      </c>
      <c r="AH18">
        <f>IF(AND(SUMIF(ShiftCode,E18,ShiftHours)&gt;0,SUMPRODUCT((Leave!$A$2:$A$20=$A18)*(Leave!$B$2:$B$20&lt;=E$4)*(Leave!$C$2:$C$20&gt;=E$4))&gt;0),1,0)</f>
        <v/>
      </c>
      <c r="AI18">
        <f>IF(AND(SUMIF(ShiftCode,F18,ShiftHours)&gt;0,SUMPRODUCT((Leave!$A$2:$A$20=$A18)*(Leave!$B$2:$B$20&lt;=F$4)*(Leave!$C$2:$C$20&gt;=F$4))&gt;0),1,0)</f>
        <v/>
      </c>
      <c r="AJ18">
        <f>IF(AND(SUMIF(ShiftCode,G18,ShiftHours)&gt;0,SUMPRODUCT((Leave!$A$2:$A$20=$A18)*(Leave!$B$2:$B$20&lt;=G$4)*(Leave!$C$2:$C$20&gt;=G$4))&gt;0),1,0)</f>
        <v/>
      </c>
      <c r="AK18">
        <f>IF(AND(SUMIF(ShiftCode,H18,ShiftHours)&gt;0,SUMPRODUCT((Leave!$A$2:$A$20=$A18)*(Leave!$B$2:$B$20&lt;=H$4)*(Leave!$C$2:$C$20&gt;=H$4))&gt;0),1,0)</f>
        <v/>
      </c>
      <c r="AL18">
        <f>IF(AND(SUMIF(ShiftCode,I18,ShiftHours)&gt;0,SUMPRODUCT((Leave!$A$2:$A$20=$A18)*(Leave!$B$2:$B$20&lt;=I$4)*(Leave!$C$2:$C$20&gt;=I$4))&gt;0),1,0)</f>
        <v/>
      </c>
      <c r="AM18">
        <f>IF(AND(SUMIF(ShiftCode,J18,ShiftHours)&gt;0,SUMPRODUCT((Leave!$A$2:$A$20=$A18)*(Leave!$B$2:$B$20&lt;=J$4)*(Leave!$C$2:$C$20&gt;=J$4))&gt;0),1,0)</f>
        <v/>
      </c>
    </row>
    <row r="19">
      <c r="A19" s="15">
        <f>IF(Staff!A9="","",Staff!A9)</f>
        <v/>
      </c>
      <c r="B19" s="14">
        <f>IF(A19="","",VLOOKUP(A19,StaffTbl,2,FALSE))</f>
        <v/>
      </c>
      <c r="D19" s="9" t="inlineStr">
        <is>
          <t>N12</t>
        </is>
      </c>
      <c r="E19" s="9" t="inlineStr">
        <is>
          <t>WO</t>
        </is>
      </c>
      <c r="F19" s="9" t="inlineStr">
        <is>
          <t>WO</t>
        </is>
      </c>
      <c r="G19" s="9" t="inlineStr">
        <is>
          <t>N12</t>
        </is>
      </c>
      <c r="H19" s="9" t="inlineStr">
        <is>
          <t>WO</t>
        </is>
      </c>
      <c r="I19" s="9" t="inlineStr">
        <is>
          <t>WO</t>
        </is>
      </c>
      <c r="J19" s="9" t="inlineStr">
        <is>
          <t>N12</t>
        </is>
      </c>
      <c r="K19" s="14">
        <f>IF($A19="","",SUMPRODUCT(SUMIF(ShiftCode,D19:J19,ShiftHours)))</f>
        <v/>
      </c>
      <c r="L19" s="25">
        <f>IF($A19="","",IF(K19&gt;OT_Threshold,"OVER",""))</f>
        <v/>
      </c>
      <c r="M19" s="14">
        <f>IF($A19="","",MAX(R19:X19))</f>
        <v/>
      </c>
      <c r="N19" s="25">
        <f>IF($A19="","",IF(M19&gt;Max_Consecutive,"OVER",""))</f>
        <v/>
      </c>
      <c r="O19" s="14">
        <f>IF($A19="","",IF(MIN(Z19:AE19)=999,"",MIN(Z19:AE19)))</f>
        <v/>
      </c>
      <c r="P19" s="25">
        <f>IF($A19="","",IF(AND(O19&lt;&gt;"",O19&lt;Rest_Hours),"SHORT",""))</f>
        <v/>
      </c>
      <c r="Q19" s="25">
        <f>IF($A19="","",IF(SUM(AG19:AM19)&gt;0,"CHECK",""))</f>
        <v/>
      </c>
      <c r="R19">
        <f>IF(SUMIF(ShiftCode,D19,ShiftHours)&gt;0,1,0)</f>
        <v/>
      </c>
      <c r="S19">
        <f>IF(SUMIF(ShiftCode,E19,ShiftHours)&gt;0,R19+1,0)</f>
        <v/>
      </c>
      <c r="T19">
        <f>IF(SUMIF(ShiftCode,F19,ShiftHours)&gt;0,S19+1,0)</f>
        <v/>
      </c>
      <c r="U19">
        <f>IF(SUMIF(ShiftCode,G19,ShiftHours)&gt;0,T19+1,0)</f>
        <v/>
      </c>
      <c r="V19">
        <f>IF(SUMIF(ShiftCode,H19,ShiftHours)&gt;0,U19+1,0)</f>
        <v/>
      </c>
      <c r="W19">
        <f>IF(SUMIF(ShiftCode,I19,ShiftHours)&gt;0,V19+1,0)</f>
        <v/>
      </c>
      <c r="X19">
        <f>IF(SUMIF(ShiftCode,J19,ShiftHours)&gt;0,W19+1,0)</f>
        <v/>
      </c>
      <c r="Z19">
        <f>IF(AND(SUMIF(ShiftCode,D19,ShiftHours)&gt;0,SUMIF(ShiftCode,E19,ShiftHours)&gt;0),24+VLOOKUP(E19,ShiftFull,5,FALSE)-VLOOKUP(D19,ShiftFull,6,FALSE),999)</f>
        <v/>
      </c>
      <c r="AA19">
        <f>IF(AND(SUMIF(ShiftCode,E19,ShiftHours)&gt;0,SUMIF(ShiftCode,F19,ShiftHours)&gt;0),24+VLOOKUP(F19,ShiftFull,5,FALSE)-VLOOKUP(E19,ShiftFull,6,FALSE),999)</f>
        <v/>
      </c>
      <c r="AB19">
        <f>IF(AND(SUMIF(ShiftCode,F19,ShiftHours)&gt;0,SUMIF(ShiftCode,G19,ShiftHours)&gt;0),24+VLOOKUP(G19,ShiftFull,5,FALSE)-VLOOKUP(F19,ShiftFull,6,FALSE),999)</f>
        <v/>
      </c>
      <c r="AC19">
        <f>IF(AND(SUMIF(ShiftCode,G19,ShiftHours)&gt;0,SUMIF(ShiftCode,H19,ShiftHours)&gt;0),24+VLOOKUP(H19,ShiftFull,5,FALSE)-VLOOKUP(G19,ShiftFull,6,FALSE),999)</f>
        <v/>
      </c>
      <c r="AD19">
        <f>IF(AND(SUMIF(ShiftCode,H19,ShiftHours)&gt;0,SUMIF(ShiftCode,I19,ShiftHours)&gt;0),24+VLOOKUP(I19,ShiftFull,5,FALSE)-VLOOKUP(H19,ShiftFull,6,FALSE),999)</f>
        <v/>
      </c>
      <c r="AE19">
        <f>IF(AND(SUMIF(ShiftCode,I19,ShiftHours)&gt;0,SUMIF(ShiftCode,J19,ShiftHours)&gt;0),24+VLOOKUP(J19,ShiftFull,5,FALSE)-VLOOKUP(I19,ShiftFull,6,FALSE),999)</f>
        <v/>
      </c>
      <c r="AG19">
        <f>IF(AND(SUMIF(ShiftCode,D19,ShiftHours)&gt;0,SUMPRODUCT((Leave!$A$2:$A$20=$A19)*(Leave!$B$2:$B$20&lt;=D$4)*(Leave!$C$2:$C$20&gt;=D$4))&gt;0),1,0)</f>
        <v/>
      </c>
      <c r="AH19">
        <f>IF(AND(SUMIF(ShiftCode,E19,ShiftHours)&gt;0,SUMPRODUCT((Leave!$A$2:$A$20=$A19)*(Leave!$B$2:$B$20&lt;=E$4)*(Leave!$C$2:$C$20&gt;=E$4))&gt;0),1,0)</f>
        <v/>
      </c>
      <c r="AI19">
        <f>IF(AND(SUMIF(ShiftCode,F19,ShiftHours)&gt;0,SUMPRODUCT((Leave!$A$2:$A$20=$A19)*(Leave!$B$2:$B$20&lt;=F$4)*(Leave!$C$2:$C$20&gt;=F$4))&gt;0),1,0)</f>
        <v/>
      </c>
      <c r="AJ19">
        <f>IF(AND(SUMIF(ShiftCode,G19,ShiftHours)&gt;0,SUMPRODUCT((Leave!$A$2:$A$20=$A19)*(Leave!$B$2:$B$20&lt;=G$4)*(Leave!$C$2:$C$20&gt;=G$4))&gt;0),1,0)</f>
        <v/>
      </c>
      <c r="AK19">
        <f>IF(AND(SUMIF(ShiftCode,H19,ShiftHours)&gt;0,SUMPRODUCT((Leave!$A$2:$A$20=$A19)*(Leave!$B$2:$B$20&lt;=H$4)*(Leave!$C$2:$C$20&gt;=H$4))&gt;0),1,0)</f>
        <v/>
      </c>
      <c r="AL19">
        <f>IF(AND(SUMIF(ShiftCode,I19,ShiftHours)&gt;0,SUMPRODUCT((Leave!$A$2:$A$20=$A19)*(Leave!$B$2:$B$20&lt;=I$4)*(Leave!$C$2:$C$20&gt;=I$4))&gt;0),1,0)</f>
        <v/>
      </c>
      <c r="AM19">
        <f>IF(AND(SUMIF(ShiftCode,J19,ShiftHours)&gt;0,SUMPRODUCT((Leave!$A$2:$A$20=$A19)*(Leave!$B$2:$B$20&lt;=J$4)*(Leave!$C$2:$C$20&gt;=J$4))&gt;0),1,0)</f>
        <v/>
      </c>
    </row>
    <row r="20">
      <c r="A20" s="15">
        <f>IF(Staff!A10="","",Staff!A10)</f>
        <v/>
      </c>
      <c r="B20" s="14">
        <f>IF(A20="","",VLOOKUP(A20,StaffTbl,2,FALSE))</f>
        <v/>
      </c>
      <c r="D20" s="9" t="inlineStr">
        <is>
          <t>WO</t>
        </is>
      </c>
      <c r="E20" s="9" t="inlineStr">
        <is>
          <t>D12</t>
        </is>
      </c>
      <c r="F20" s="9" t="inlineStr">
        <is>
          <t>WO</t>
        </is>
      </c>
      <c r="G20" s="9" t="inlineStr">
        <is>
          <t>WO</t>
        </is>
      </c>
      <c r="H20" s="9" t="inlineStr">
        <is>
          <t>D12</t>
        </is>
      </c>
      <c r="I20" s="9" t="inlineStr">
        <is>
          <t>WO</t>
        </is>
      </c>
      <c r="J20" s="9" t="inlineStr">
        <is>
          <t>WO</t>
        </is>
      </c>
      <c r="K20" s="14">
        <f>IF($A20="","",SUMPRODUCT(SUMIF(ShiftCode,D20:J20,ShiftHours)))</f>
        <v/>
      </c>
      <c r="L20" s="25">
        <f>IF($A20="","",IF(K20&gt;OT_Threshold,"OVER",""))</f>
        <v/>
      </c>
      <c r="M20" s="14">
        <f>IF($A20="","",MAX(R20:X20))</f>
        <v/>
      </c>
      <c r="N20" s="25">
        <f>IF($A20="","",IF(M20&gt;Max_Consecutive,"OVER",""))</f>
        <v/>
      </c>
      <c r="O20" s="14">
        <f>IF($A20="","",IF(MIN(Z20:AE20)=999,"",MIN(Z20:AE20)))</f>
        <v/>
      </c>
      <c r="P20" s="25">
        <f>IF($A20="","",IF(AND(O20&lt;&gt;"",O20&lt;Rest_Hours),"SHORT",""))</f>
        <v/>
      </c>
      <c r="Q20" s="25">
        <f>IF($A20="","",IF(SUM(AG20:AM20)&gt;0,"CHECK",""))</f>
        <v/>
      </c>
      <c r="R20">
        <f>IF(SUMIF(ShiftCode,D20,ShiftHours)&gt;0,1,0)</f>
        <v/>
      </c>
      <c r="S20">
        <f>IF(SUMIF(ShiftCode,E20,ShiftHours)&gt;0,R20+1,0)</f>
        <v/>
      </c>
      <c r="T20">
        <f>IF(SUMIF(ShiftCode,F20,ShiftHours)&gt;0,S20+1,0)</f>
        <v/>
      </c>
      <c r="U20">
        <f>IF(SUMIF(ShiftCode,G20,ShiftHours)&gt;0,T20+1,0)</f>
        <v/>
      </c>
      <c r="V20">
        <f>IF(SUMIF(ShiftCode,H20,ShiftHours)&gt;0,U20+1,0)</f>
        <v/>
      </c>
      <c r="W20">
        <f>IF(SUMIF(ShiftCode,I20,ShiftHours)&gt;0,V20+1,0)</f>
        <v/>
      </c>
      <c r="X20">
        <f>IF(SUMIF(ShiftCode,J20,ShiftHours)&gt;0,W20+1,0)</f>
        <v/>
      </c>
      <c r="Z20">
        <f>IF(AND(SUMIF(ShiftCode,D20,ShiftHours)&gt;0,SUMIF(ShiftCode,E20,ShiftHours)&gt;0),24+VLOOKUP(E20,ShiftFull,5,FALSE)-VLOOKUP(D20,ShiftFull,6,FALSE),999)</f>
        <v/>
      </c>
      <c r="AA20">
        <f>IF(AND(SUMIF(ShiftCode,E20,ShiftHours)&gt;0,SUMIF(ShiftCode,F20,ShiftHours)&gt;0),24+VLOOKUP(F20,ShiftFull,5,FALSE)-VLOOKUP(E20,ShiftFull,6,FALSE),999)</f>
        <v/>
      </c>
      <c r="AB20">
        <f>IF(AND(SUMIF(ShiftCode,F20,ShiftHours)&gt;0,SUMIF(ShiftCode,G20,ShiftHours)&gt;0),24+VLOOKUP(G20,ShiftFull,5,FALSE)-VLOOKUP(F20,ShiftFull,6,FALSE),999)</f>
        <v/>
      </c>
      <c r="AC20">
        <f>IF(AND(SUMIF(ShiftCode,G20,ShiftHours)&gt;0,SUMIF(ShiftCode,H20,ShiftHours)&gt;0),24+VLOOKUP(H20,ShiftFull,5,FALSE)-VLOOKUP(G20,ShiftFull,6,FALSE),999)</f>
        <v/>
      </c>
      <c r="AD20">
        <f>IF(AND(SUMIF(ShiftCode,H20,ShiftHours)&gt;0,SUMIF(ShiftCode,I20,ShiftHours)&gt;0),24+VLOOKUP(I20,ShiftFull,5,FALSE)-VLOOKUP(H20,ShiftFull,6,FALSE),999)</f>
        <v/>
      </c>
      <c r="AE20">
        <f>IF(AND(SUMIF(ShiftCode,I20,ShiftHours)&gt;0,SUMIF(ShiftCode,J20,ShiftHours)&gt;0),24+VLOOKUP(J20,ShiftFull,5,FALSE)-VLOOKUP(I20,ShiftFull,6,FALSE),999)</f>
        <v/>
      </c>
      <c r="AG20">
        <f>IF(AND(SUMIF(ShiftCode,D20,ShiftHours)&gt;0,SUMPRODUCT((Leave!$A$2:$A$20=$A20)*(Leave!$B$2:$B$20&lt;=D$4)*(Leave!$C$2:$C$20&gt;=D$4))&gt;0),1,0)</f>
        <v/>
      </c>
      <c r="AH20">
        <f>IF(AND(SUMIF(ShiftCode,E20,ShiftHours)&gt;0,SUMPRODUCT((Leave!$A$2:$A$20=$A20)*(Leave!$B$2:$B$20&lt;=E$4)*(Leave!$C$2:$C$20&gt;=E$4))&gt;0),1,0)</f>
        <v/>
      </c>
      <c r="AI20">
        <f>IF(AND(SUMIF(ShiftCode,F20,ShiftHours)&gt;0,SUMPRODUCT((Leave!$A$2:$A$20=$A20)*(Leave!$B$2:$B$20&lt;=F$4)*(Leave!$C$2:$C$20&gt;=F$4))&gt;0),1,0)</f>
        <v/>
      </c>
      <c r="AJ20">
        <f>IF(AND(SUMIF(ShiftCode,G20,ShiftHours)&gt;0,SUMPRODUCT((Leave!$A$2:$A$20=$A20)*(Leave!$B$2:$B$20&lt;=G$4)*(Leave!$C$2:$C$20&gt;=G$4))&gt;0),1,0)</f>
        <v/>
      </c>
      <c r="AK20">
        <f>IF(AND(SUMIF(ShiftCode,H20,ShiftHours)&gt;0,SUMPRODUCT((Leave!$A$2:$A$20=$A20)*(Leave!$B$2:$B$20&lt;=H$4)*(Leave!$C$2:$C$20&gt;=H$4))&gt;0),1,0)</f>
        <v/>
      </c>
      <c r="AL20">
        <f>IF(AND(SUMIF(ShiftCode,I20,ShiftHours)&gt;0,SUMPRODUCT((Leave!$A$2:$A$20=$A20)*(Leave!$B$2:$B$20&lt;=I$4)*(Leave!$C$2:$C$20&gt;=I$4))&gt;0),1,0)</f>
        <v/>
      </c>
      <c r="AM20">
        <f>IF(AND(SUMIF(ShiftCode,J20,ShiftHours)&gt;0,SUMPRODUCT((Leave!$A$2:$A$20=$A20)*(Leave!$B$2:$B$20&lt;=J$4)*(Leave!$C$2:$C$20&gt;=J$4))&gt;0),1,0)</f>
        <v/>
      </c>
    </row>
    <row r="21">
      <c r="A21" s="15">
        <f>IF(Staff!A11="","",Staff!A11)</f>
        <v/>
      </c>
      <c r="B21" s="14">
        <f>IF(A21="","",VLOOKUP(A21,StaffTbl,2,FALSE))</f>
        <v/>
      </c>
      <c r="D21" s="9" t="inlineStr">
        <is>
          <t>WO</t>
        </is>
      </c>
      <c r="E21" s="9" t="inlineStr">
        <is>
          <t>D12</t>
        </is>
      </c>
      <c r="F21" s="9" t="inlineStr">
        <is>
          <t>WO</t>
        </is>
      </c>
      <c r="G21" s="9" t="inlineStr">
        <is>
          <t>D12</t>
        </is>
      </c>
      <c r="H21" s="9" t="inlineStr">
        <is>
          <t>WO</t>
        </is>
      </c>
      <c r="I21" s="9" t="inlineStr">
        <is>
          <t>D12</t>
        </is>
      </c>
      <c r="J21" s="9" t="inlineStr">
        <is>
          <t>WO</t>
        </is>
      </c>
      <c r="K21" s="14">
        <f>IF($A21="","",SUMPRODUCT(SUMIF(ShiftCode,D21:J21,ShiftHours)))</f>
        <v/>
      </c>
      <c r="L21" s="25">
        <f>IF($A21="","",IF(K21&gt;OT_Threshold,"OVER",""))</f>
        <v/>
      </c>
      <c r="M21" s="14">
        <f>IF($A21="","",MAX(R21:X21))</f>
        <v/>
      </c>
      <c r="N21" s="25">
        <f>IF($A21="","",IF(M21&gt;Max_Consecutive,"OVER",""))</f>
        <v/>
      </c>
      <c r="O21" s="14">
        <f>IF($A21="","",IF(MIN(Z21:AE21)=999,"",MIN(Z21:AE21)))</f>
        <v/>
      </c>
      <c r="P21" s="25">
        <f>IF($A21="","",IF(AND(O21&lt;&gt;"",O21&lt;Rest_Hours),"SHORT",""))</f>
        <v/>
      </c>
      <c r="Q21" s="25">
        <f>IF($A21="","",IF(SUM(AG21:AM21)&gt;0,"CHECK",""))</f>
        <v/>
      </c>
      <c r="R21">
        <f>IF(SUMIF(ShiftCode,D21,ShiftHours)&gt;0,1,0)</f>
        <v/>
      </c>
      <c r="S21">
        <f>IF(SUMIF(ShiftCode,E21,ShiftHours)&gt;0,R21+1,0)</f>
        <v/>
      </c>
      <c r="T21">
        <f>IF(SUMIF(ShiftCode,F21,ShiftHours)&gt;0,S21+1,0)</f>
        <v/>
      </c>
      <c r="U21">
        <f>IF(SUMIF(ShiftCode,G21,ShiftHours)&gt;0,T21+1,0)</f>
        <v/>
      </c>
      <c r="V21">
        <f>IF(SUMIF(ShiftCode,H21,ShiftHours)&gt;0,U21+1,0)</f>
        <v/>
      </c>
      <c r="W21">
        <f>IF(SUMIF(ShiftCode,I21,ShiftHours)&gt;0,V21+1,0)</f>
        <v/>
      </c>
      <c r="X21">
        <f>IF(SUMIF(ShiftCode,J21,ShiftHours)&gt;0,W21+1,0)</f>
        <v/>
      </c>
      <c r="Z21">
        <f>IF(AND(SUMIF(ShiftCode,D21,ShiftHours)&gt;0,SUMIF(ShiftCode,E21,ShiftHours)&gt;0),24+VLOOKUP(E21,ShiftFull,5,FALSE)-VLOOKUP(D21,ShiftFull,6,FALSE),999)</f>
        <v/>
      </c>
      <c r="AA21">
        <f>IF(AND(SUMIF(ShiftCode,E21,ShiftHours)&gt;0,SUMIF(ShiftCode,F21,ShiftHours)&gt;0),24+VLOOKUP(F21,ShiftFull,5,FALSE)-VLOOKUP(E21,ShiftFull,6,FALSE),999)</f>
        <v/>
      </c>
      <c r="AB21">
        <f>IF(AND(SUMIF(ShiftCode,F21,ShiftHours)&gt;0,SUMIF(ShiftCode,G21,ShiftHours)&gt;0),24+VLOOKUP(G21,ShiftFull,5,FALSE)-VLOOKUP(F21,ShiftFull,6,FALSE),999)</f>
        <v/>
      </c>
      <c r="AC21">
        <f>IF(AND(SUMIF(ShiftCode,G21,ShiftHours)&gt;0,SUMIF(ShiftCode,H21,ShiftHours)&gt;0),24+VLOOKUP(H21,ShiftFull,5,FALSE)-VLOOKUP(G21,ShiftFull,6,FALSE),999)</f>
        <v/>
      </c>
      <c r="AD21">
        <f>IF(AND(SUMIF(ShiftCode,H21,ShiftHours)&gt;0,SUMIF(ShiftCode,I21,ShiftHours)&gt;0),24+VLOOKUP(I21,ShiftFull,5,FALSE)-VLOOKUP(H21,ShiftFull,6,FALSE),999)</f>
        <v/>
      </c>
      <c r="AE21">
        <f>IF(AND(SUMIF(ShiftCode,I21,ShiftHours)&gt;0,SUMIF(ShiftCode,J21,ShiftHours)&gt;0),24+VLOOKUP(J21,ShiftFull,5,FALSE)-VLOOKUP(I21,ShiftFull,6,FALSE),999)</f>
        <v/>
      </c>
      <c r="AG21">
        <f>IF(AND(SUMIF(ShiftCode,D21,ShiftHours)&gt;0,SUMPRODUCT((Leave!$A$2:$A$20=$A21)*(Leave!$B$2:$B$20&lt;=D$4)*(Leave!$C$2:$C$20&gt;=D$4))&gt;0),1,0)</f>
        <v/>
      </c>
      <c r="AH21">
        <f>IF(AND(SUMIF(ShiftCode,E21,ShiftHours)&gt;0,SUMPRODUCT((Leave!$A$2:$A$20=$A21)*(Leave!$B$2:$B$20&lt;=E$4)*(Leave!$C$2:$C$20&gt;=E$4))&gt;0),1,0)</f>
        <v/>
      </c>
      <c r="AI21">
        <f>IF(AND(SUMIF(ShiftCode,F21,ShiftHours)&gt;0,SUMPRODUCT((Leave!$A$2:$A$20=$A21)*(Leave!$B$2:$B$20&lt;=F$4)*(Leave!$C$2:$C$20&gt;=F$4))&gt;0),1,0)</f>
        <v/>
      </c>
      <c r="AJ21">
        <f>IF(AND(SUMIF(ShiftCode,G21,ShiftHours)&gt;0,SUMPRODUCT((Leave!$A$2:$A$20=$A21)*(Leave!$B$2:$B$20&lt;=G$4)*(Leave!$C$2:$C$20&gt;=G$4))&gt;0),1,0)</f>
        <v/>
      </c>
      <c r="AK21">
        <f>IF(AND(SUMIF(ShiftCode,H21,ShiftHours)&gt;0,SUMPRODUCT((Leave!$A$2:$A$20=$A21)*(Leave!$B$2:$B$20&lt;=H$4)*(Leave!$C$2:$C$20&gt;=H$4))&gt;0),1,0)</f>
        <v/>
      </c>
      <c r="AL21">
        <f>IF(AND(SUMIF(ShiftCode,I21,ShiftHours)&gt;0,SUMPRODUCT((Leave!$A$2:$A$20=$A21)*(Leave!$B$2:$B$20&lt;=I$4)*(Leave!$C$2:$C$20&gt;=I$4))&gt;0),1,0)</f>
        <v/>
      </c>
      <c r="AM21">
        <f>IF(AND(SUMIF(ShiftCode,J21,ShiftHours)&gt;0,SUMPRODUCT((Leave!$A$2:$A$20=$A21)*(Leave!$B$2:$B$20&lt;=J$4)*(Leave!$C$2:$C$20&gt;=J$4))&gt;0),1,0)</f>
        <v/>
      </c>
    </row>
    <row r="22">
      <c r="A22" s="15">
        <f>IF(Staff!A12="","",Staff!A12)</f>
        <v/>
      </c>
      <c r="B22" s="14">
        <f>IF(A22="","",VLOOKUP(A22,StaffTbl,2,FALSE))</f>
        <v/>
      </c>
      <c r="D22" s="9" t="inlineStr">
        <is>
          <t>WO</t>
        </is>
      </c>
      <c r="E22" s="9" t="inlineStr">
        <is>
          <t>D12</t>
        </is>
      </c>
      <c r="F22" s="9" t="inlineStr">
        <is>
          <t>WO</t>
        </is>
      </c>
      <c r="G22" s="9" t="inlineStr">
        <is>
          <t>D12</t>
        </is>
      </c>
      <c r="H22" s="9" t="inlineStr">
        <is>
          <t>WO</t>
        </is>
      </c>
      <c r="I22" s="9" t="inlineStr">
        <is>
          <t>N12</t>
        </is>
      </c>
      <c r="J22" s="9" t="inlineStr">
        <is>
          <t>WO</t>
        </is>
      </c>
      <c r="K22" s="14">
        <f>IF($A22="","",SUMPRODUCT(SUMIF(ShiftCode,D22:J22,ShiftHours)))</f>
        <v/>
      </c>
      <c r="L22" s="25">
        <f>IF($A22="","",IF(K22&gt;OT_Threshold,"OVER",""))</f>
        <v/>
      </c>
      <c r="M22" s="14">
        <f>IF($A22="","",MAX(R22:X22))</f>
        <v/>
      </c>
      <c r="N22" s="25">
        <f>IF($A22="","",IF(M22&gt;Max_Consecutive,"OVER",""))</f>
        <v/>
      </c>
      <c r="O22" s="14">
        <f>IF($A22="","",IF(MIN(Z22:AE22)=999,"",MIN(Z22:AE22)))</f>
        <v/>
      </c>
      <c r="P22" s="25">
        <f>IF($A22="","",IF(AND(O22&lt;&gt;"",O22&lt;Rest_Hours),"SHORT",""))</f>
        <v/>
      </c>
      <c r="Q22" s="25">
        <f>IF($A22="","",IF(SUM(AG22:AM22)&gt;0,"CHECK",""))</f>
        <v/>
      </c>
      <c r="R22">
        <f>IF(SUMIF(ShiftCode,D22,ShiftHours)&gt;0,1,0)</f>
        <v/>
      </c>
      <c r="S22">
        <f>IF(SUMIF(ShiftCode,E22,ShiftHours)&gt;0,R22+1,0)</f>
        <v/>
      </c>
      <c r="T22">
        <f>IF(SUMIF(ShiftCode,F22,ShiftHours)&gt;0,S22+1,0)</f>
        <v/>
      </c>
      <c r="U22">
        <f>IF(SUMIF(ShiftCode,G22,ShiftHours)&gt;0,T22+1,0)</f>
        <v/>
      </c>
      <c r="V22">
        <f>IF(SUMIF(ShiftCode,H22,ShiftHours)&gt;0,U22+1,0)</f>
        <v/>
      </c>
      <c r="W22">
        <f>IF(SUMIF(ShiftCode,I22,ShiftHours)&gt;0,V22+1,0)</f>
        <v/>
      </c>
      <c r="X22">
        <f>IF(SUMIF(ShiftCode,J22,ShiftHours)&gt;0,W22+1,0)</f>
        <v/>
      </c>
      <c r="Z22">
        <f>IF(AND(SUMIF(ShiftCode,D22,ShiftHours)&gt;0,SUMIF(ShiftCode,E22,ShiftHours)&gt;0),24+VLOOKUP(E22,ShiftFull,5,FALSE)-VLOOKUP(D22,ShiftFull,6,FALSE),999)</f>
        <v/>
      </c>
      <c r="AA22">
        <f>IF(AND(SUMIF(ShiftCode,E22,ShiftHours)&gt;0,SUMIF(ShiftCode,F22,ShiftHours)&gt;0),24+VLOOKUP(F22,ShiftFull,5,FALSE)-VLOOKUP(E22,ShiftFull,6,FALSE),999)</f>
        <v/>
      </c>
      <c r="AB22">
        <f>IF(AND(SUMIF(ShiftCode,F22,ShiftHours)&gt;0,SUMIF(ShiftCode,G22,ShiftHours)&gt;0),24+VLOOKUP(G22,ShiftFull,5,FALSE)-VLOOKUP(F22,ShiftFull,6,FALSE),999)</f>
        <v/>
      </c>
      <c r="AC22">
        <f>IF(AND(SUMIF(ShiftCode,G22,ShiftHours)&gt;0,SUMIF(ShiftCode,H22,ShiftHours)&gt;0),24+VLOOKUP(H22,ShiftFull,5,FALSE)-VLOOKUP(G22,ShiftFull,6,FALSE),999)</f>
        <v/>
      </c>
      <c r="AD22">
        <f>IF(AND(SUMIF(ShiftCode,H22,ShiftHours)&gt;0,SUMIF(ShiftCode,I22,ShiftHours)&gt;0),24+VLOOKUP(I22,ShiftFull,5,FALSE)-VLOOKUP(H22,ShiftFull,6,FALSE),999)</f>
        <v/>
      </c>
      <c r="AE22">
        <f>IF(AND(SUMIF(ShiftCode,I22,ShiftHours)&gt;0,SUMIF(ShiftCode,J22,ShiftHours)&gt;0),24+VLOOKUP(J22,ShiftFull,5,FALSE)-VLOOKUP(I22,ShiftFull,6,FALSE),999)</f>
        <v/>
      </c>
      <c r="AG22">
        <f>IF(AND(SUMIF(ShiftCode,D22,ShiftHours)&gt;0,SUMPRODUCT((Leave!$A$2:$A$20=$A22)*(Leave!$B$2:$B$20&lt;=D$4)*(Leave!$C$2:$C$20&gt;=D$4))&gt;0),1,0)</f>
        <v/>
      </c>
      <c r="AH22">
        <f>IF(AND(SUMIF(ShiftCode,E22,ShiftHours)&gt;0,SUMPRODUCT((Leave!$A$2:$A$20=$A22)*(Leave!$B$2:$B$20&lt;=E$4)*(Leave!$C$2:$C$20&gt;=E$4))&gt;0),1,0)</f>
        <v/>
      </c>
      <c r="AI22">
        <f>IF(AND(SUMIF(ShiftCode,F22,ShiftHours)&gt;0,SUMPRODUCT((Leave!$A$2:$A$20=$A22)*(Leave!$B$2:$B$20&lt;=F$4)*(Leave!$C$2:$C$20&gt;=F$4))&gt;0),1,0)</f>
        <v/>
      </c>
      <c r="AJ22">
        <f>IF(AND(SUMIF(ShiftCode,G22,ShiftHours)&gt;0,SUMPRODUCT((Leave!$A$2:$A$20=$A22)*(Leave!$B$2:$B$20&lt;=G$4)*(Leave!$C$2:$C$20&gt;=G$4))&gt;0),1,0)</f>
        <v/>
      </c>
      <c r="AK22">
        <f>IF(AND(SUMIF(ShiftCode,H22,ShiftHours)&gt;0,SUMPRODUCT((Leave!$A$2:$A$20=$A22)*(Leave!$B$2:$B$20&lt;=H$4)*(Leave!$C$2:$C$20&gt;=H$4))&gt;0),1,0)</f>
        <v/>
      </c>
      <c r="AL22">
        <f>IF(AND(SUMIF(ShiftCode,I22,ShiftHours)&gt;0,SUMPRODUCT((Leave!$A$2:$A$20=$A22)*(Leave!$B$2:$B$20&lt;=I$4)*(Leave!$C$2:$C$20&gt;=I$4))&gt;0),1,0)</f>
        <v/>
      </c>
      <c r="AM22">
        <f>IF(AND(SUMIF(ShiftCode,J22,ShiftHours)&gt;0,SUMPRODUCT((Leave!$A$2:$A$20=$A22)*(Leave!$B$2:$B$20&lt;=J$4)*(Leave!$C$2:$C$20&gt;=J$4))&gt;0),1,0)</f>
        <v/>
      </c>
    </row>
    <row r="23">
      <c r="A23" s="15">
        <f>IF(Staff!A13="","",Staff!A13)</f>
        <v/>
      </c>
      <c r="B23" s="14">
        <f>IF(A23="","",VLOOKUP(A23,StaffTbl,2,FALSE))</f>
        <v/>
      </c>
      <c r="D23" s="9" t="inlineStr">
        <is>
          <t>WO</t>
        </is>
      </c>
      <c r="E23" s="9" t="inlineStr">
        <is>
          <t>D12</t>
        </is>
      </c>
      <c r="F23" s="9" t="inlineStr">
        <is>
          <t>WO</t>
        </is>
      </c>
      <c r="G23" s="9" t="inlineStr">
        <is>
          <t>WO</t>
        </is>
      </c>
      <c r="H23" s="9" t="inlineStr">
        <is>
          <t>D12</t>
        </is>
      </c>
      <c r="I23" s="9" t="inlineStr">
        <is>
          <t>WO</t>
        </is>
      </c>
      <c r="J23" s="9" t="inlineStr">
        <is>
          <t>WO</t>
        </is>
      </c>
      <c r="K23" s="14">
        <f>IF($A23="","",SUMPRODUCT(SUMIF(ShiftCode,D23:J23,ShiftHours)))</f>
        <v/>
      </c>
      <c r="L23" s="25">
        <f>IF($A23="","",IF(K23&gt;OT_Threshold,"OVER",""))</f>
        <v/>
      </c>
      <c r="M23" s="14">
        <f>IF($A23="","",MAX(R23:X23))</f>
        <v/>
      </c>
      <c r="N23" s="25">
        <f>IF($A23="","",IF(M23&gt;Max_Consecutive,"OVER",""))</f>
        <v/>
      </c>
      <c r="O23" s="14">
        <f>IF($A23="","",IF(MIN(Z23:AE23)=999,"",MIN(Z23:AE23)))</f>
        <v/>
      </c>
      <c r="P23" s="25">
        <f>IF($A23="","",IF(AND(O23&lt;&gt;"",O23&lt;Rest_Hours),"SHORT",""))</f>
        <v/>
      </c>
      <c r="Q23" s="25">
        <f>IF($A23="","",IF(SUM(AG23:AM23)&gt;0,"CHECK",""))</f>
        <v/>
      </c>
      <c r="R23">
        <f>IF(SUMIF(ShiftCode,D23,ShiftHours)&gt;0,1,0)</f>
        <v/>
      </c>
      <c r="S23">
        <f>IF(SUMIF(ShiftCode,E23,ShiftHours)&gt;0,R23+1,0)</f>
        <v/>
      </c>
      <c r="T23">
        <f>IF(SUMIF(ShiftCode,F23,ShiftHours)&gt;0,S23+1,0)</f>
        <v/>
      </c>
      <c r="U23">
        <f>IF(SUMIF(ShiftCode,G23,ShiftHours)&gt;0,T23+1,0)</f>
        <v/>
      </c>
      <c r="V23">
        <f>IF(SUMIF(ShiftCode,H23,ShiftHours)&gt;0,U23+1,0)</f>
        <v/>
      </c>
      <c r="W23">
        <f>IF(SUMIF(ShiftCode,I23,ShiftHours)&gt;0,V23+1,0)</f>
        <v/>
      </c>
      <c r="X23">
        <f>IF(SUMIF(ShiftCode,J23,ShiftHours)&gt;0,W23+1,0)</f>
        <v/>
      </c>
      <c r="Z23">
        <f>IF(AND(SUMIF(ShiftCode,D23,ShiftHours)&gt;0,SUMIF(ShiftCode,E23,ShiftHours)&gt;0),24+VLOOKUP(E23,ShiftFull,5,FALSE)-VLOOKUP(D23,ShiftFull,6,FALSE),999)</f>
        <v/>
      </c>
      <c r="AA23">
        <f>IF(AND(SUMIF(ShiftCode,E23,ShiftHours)&gt;0,SUMIF(ShiftCode,F23,ShiftHours)&gt;0),24+VLOOKUP(F23,ShiftFull,5,FALSE)-VLOOKUP(E23,ShiftFull,6,FALSE),999)</f>
        <v/>
      </c>
      <c r="AB23">
        <f>IF(AND(SUMIF(ShiftCode,F23,ShiftHours)&gt;0,SUMIF(ShiftCode,G23,ShiftHours)&gt;0),24+VLOOKUP(G23,ShiftFull,5,FALSE)-VLOOKUP(F23,ShiftFull,6,FALSE),999)</f>
        <v/>
      </c>
      <c r="AC23">
        <f>IF(AND(SUMIF(ShiftCode,G23,ShiftHours)&gt;0,SUMIF(ShiftCode,H23,ShiftHours)&gt;0),24+VLOOKUP(H23,ShiftFull,5,FALSE)-VLOOKUP(G23,ShiftFull,6,FALSE),999)</f>
        <v/>
      </c>
      <c r="AD23">
        <f>IF(AND(SUMIF(ShiftCode,H23,ShiftHours)&gt;0,SUMIF(ShiftCode,I23,ShiftHours)&gt;0),24+VLOOKUP(I23,ShiftFull,5,FALSE)-VLOOKUP(H23,ShiftFull,6,FALSE),999)</f>
        <v/>
      </c>
      <c r="AE23">
        <f>IF(AND(SUMIF(ShiftCode,I23,ShiftHours)&gt;0,SUMIF(ShiftCode,J23,ShiftHours)&gt;0),24+VLOOKUP(J23,ShiftFull,5,FALSE)-VLOOKUP(I23,ShiftFull,6,FALSE),999)</f>
        <v/>
      </c>
      <c r="AG23">
        <f>IF(AND(SUMIF(ShiftCode,D23,ShiftHours)&gt;0,SUMPRODUCT((Leave!$A$2:$A$20=$A23)*(Leave!$B$2:$B$20&lt;=D$4)*(Leave!$C$2:$C$20&gt;=D$4))&gt;0),1,0)</f>
        <v/>
      </c>
      <c r="AH23">
        <f>IF(AND(SUMIF(ShiftCode,E23,ShiftHours)&gt;0,SUMPRODUCT((Leave!$A$2:$A$20=$A23)*(Leave!$B$2:$B$20&lt;=E$4)*(Leave!$C$2:$C$20&gt;=E$4))&gt;0),1,0)</f>
        <v/>
      </c>
      <c r="AI23">
        <f>IF(AND(SUMIF(ShiftCode,F23,ShiftHours)&gt;0,SUMPRODUCT((Leave!$A$2:$A$20=$A23)*(Leave!$B$2:$B$20&lt;=F$4)*(Leave!$C$2:$C$20&gt;=F$4))&gt;0),1,0)</f>
        <v/>
      </c>
      <c r="AJ23">
        <f>IF(AND(SUMIF(ShiftCode,G23,ShiftHours)&gt;0,SUMPRODUCT((Leave!$A$2:$A$20=$A23)*(Leave!$B$2:$B$20&lt;=G$4)*(Leave!$C$2:$C$20&gt;=G$4))&gt;0),1,0)</f>
        <v/>
      </c>
      <c r="AK23">
        <f>IF(AND(SUMIF(ShiftCode,H23,ShiftHours)&gt;0,SUMPRODUCT((Leave!$A$2:$A$20=$A23)*(Leave!$B$2:$B$20&lt;=H$4)*(Leave!$C$2:$C$20&gt;=H$4))&gt;0),1,0)</f>
        <v/>
      </c>
      <c r="AL23">
        <f>IF(AND(SUMIF(ShiftCode,I23,ShiftHours)&gt;0,SUMPRODUCT((Leave!$A$2:$A$20=$A23)*(Leave!$B$2:$B$20&lt;=I$4)*(Leave!$C$2:$C$20&gt;=I$4))&gt;0),1,0)</f>
        <v/>
      </c>
      <c r="AM23">
        <f>IF(AND(SUMIF(ShiftCode,J23,ShiftHours)&gt;0,SUMPRODUCT((Leave!$A$2:$A$20=$A23)*(Leave!$B$2:$B$20&lt;=J$4)*(Leave!$C$2:$C$20&gt;=J$4))&gt;0),1,0)</f>
        <v/>
      </c>
    </row>
    <row r="24">
      <c r="A24" s="15">
        <f>IF(Staff!A14="","",Staff!A14)</f>
        <v/>
      </c>
      <c r="B24" s="14">
        <f>IF(A24="","",VLOOKUP(A24,StaffTbl,2,FALSE))</f>
        <v/>
      </c>
      <c r="D24" s="9" t="inlineStr">
        <is>
          <t>WO</t>
        </is>
      </c>
      <c r="E24" s="9" t="inlineStr">
        <is>
          <t>N12</t>
        </is>
      </c>
      <c r="F24" s="9" t="inlineStr">
        <is>
          <t>WO</t>
        </is>
      </c>
      <c r="G24" s="9" t="inlineStr">
        <is>
          <t>WO</t>
        </is>
      </c>
      <c r="H24" s="9" t="inlineStr">
        <is>
          <t>N12</t>
        </is>
      </c>
      <c r="I24" s="9" t="inlineStr">
        <is>
          <t>WO</t>
        </is>
      </c>
      <c r="J24" s="9" t="inlineStr">
        <is>
          <t>WO</t>
        </is>
      </c>
      <c r="K24" s="14">
        <f>IF($A24="","",SUMPRODUCT(SUMIF(ShiftCode,D24:J24,ShiftHours)))</f>
        <v/>
      </c>
      <c r="L24" s="25">
        <f>IF($A24="","",IF(K24&gt;OT_Threshold,"OVER",""))</f>
        <v/>
      </c>
      <c r="M24" s="14">
        <f>IF($A24="","",MAX(R24:X24))</f>
        <v/>
      </c>
      <c r="N24" s="25">
        <f>IF($A24="","",IF(M24&gt;Max_Consecutive,"OVER",""))</f>
        <v/>
      </c>
      <c r="O24" s="14">
        <f>IF($A24="","",IF(MIN(Z24:AE24)=999,"",MIN(Z24:AE24)))</f>
        <v/>
      </c>
      <c r="P24" s="25">
        <f>IF($A24="","",IF(AND(O24&lt;&gt;"",O24&lt;Rest_Hours),"SHORT",""))</f>
        <v/>
      </c>
      <c r="Q24" s="25">
        <f>IF($A24="","",IF(SUM(AG24:AM24)&gt;0,"CHECK",""))</f>
        <v/>
      </c>
      <c r="R24">
        <f>IF(SUMIF(ShiftCode,D24,ShiftHours)&gt;0,1,0)</f>
        <v/>
      </c>
      <c r="S24">
        <f>IF(SUMIF(ShiftCode,E24,ShiftHours)&gt;0,R24+1,0)</f>
        <v/>
      </c>
      <c r="T24">
        <f>IF(SUMIF(ShiftCode,F24,ShiftHours)&gt;0,S24+1,0)</f>
        <v/>
      </c>
      <c r="U24">
        <f>IF(SUMIF(ShiftCode,G24,ShiftHours)&gt;0,T24+1,0)</f>
        <v/>
      </c>
      <c r="V24">
        <f>IF(SUMIF(ShiftCode,H24,ShiftHours)&gt;0,U24+1,0)</f>
        <v/>
      </c>
      <c r="W24">
        <f>IF(SUMIF(ShiftCode,I24,ShiftHours)&gt;0,V24+1,0)</f>
        <v/>
      </c>
      <c r="X24">
        <f>IF(SUMIF(ShiftCode,J24,ShiftHours)&gt;0,W24+1,0)</f>
        <v/>
      </c>
      <c r="Z24">
        <f>IF(AND(SUMIF(ShiftCode,D24,ShiftHours)&gt;0,SUMIF(ShiftCode,E24,ShiftHours)&gt;0),24+VLOOKUP(E24,ShiftFull,5,FALSE)-VLOOKUP(D24,ShiftFull,6,FALSE),999)</f>
        <v/>
      </c>
      <c r="AA24">
        <f>IF(AND(SUMIF(ShiftCode,E24,ShiftHours)&gt;0,SUMIF(ShiftCode,F24,ShiftHours)&gt;0),24+VLOOKUP(F24,ShiftFull,5,FALSE)-VLOOKUP(E24,ShiftFull,6,FALSE),999)</f>
        <v/>
      </c>
      <c r="AB24">
        <f>IF(AND(SUMIF(ShiftCode,F24,ShiftHours)&gt;0,SUMIF(ShiftCode,G24,ShiftHours)&gt;0),24+VLOOKUP(G24,ShiftFull,5,FALSE)-VLOOKUP(F24,ShiftFull,6,FALSE),999)</f>
        <v/>
      </c>
      <c r="AC24">
        <f>IF(AND(SUMIF(ShiftCode,G24,ShiftHours)&gt;0,SUMIF(ShiftCode,H24,ShiftHours)&gt;0),24+VLOOKUP(H24,ShiftFull,5,FALSE)-VLOOKUP(G24,ShiftFull,6,FALSE),999)</f>
        <v/>
      </c>
      <c r="AD24">
        <f>IF(AND(SUMIF(ShiftCode,H24,ShiftHours)&gt;0,SUMIF(ShiftCode,I24,ShiftHours)&gt;0),24+VLOOKUP(I24,ShiftFull,5,FALSE)-VLOOKUP(H24,ShiftFull,6,FALSE),999)</f>
        <v/>
      </c>
      <c r="AE24">
        <f>IF(AND(SUMIF(ShiftCode,I24,ShiftHours)&gt;0,SUMIF(ShiftCode,J24,ShiftHours)&gt;0),24+VLOOKUP(J24,ShiftFull,5,FALSE)-VLOOKUP(I24,ShiftFull,6,FALSE),999)</f>
        <v/>
      </c>
      <c r="AG24">
        <f>IF(AND(SUMIF(ShiftCode,D24,ShiftHours)&gt;0,SUMPRODUCT((Leave!$A$2:$A$20=$A24)*(Leave!$B$2:$B$20&lt;=D$4)*(Leave!$C$2:$C$20&gt;=D$4))&gt;0),1,0)</f>
        <v/>
      </c>
      <c r="AH24">
        <f>IF(AND(SUMIF(ShiftCode,E24,ShiftHours)&gt;0,SUMPRODUCT((Leave!$A$2:$A$20=$A24)*(Leave!$B$2:$B$20&lt;=E$4)*(Leave!$C$2:$C$20&gt;=E$4))&gt;0),1,0)</f>
        <v/>
      </c>
      <c r="AI24">
        <f>IF(AND(SUMIF(ShiftCode,F24,ShiftHours)&gt;0,SUMPRODUCT((Leave!$A$2:$A$20=$A24)*(Leave!$B$2:$B$20&lt;=F$4)*(Leave!$C$2:$C$20&gt;=F$4))&gt;0),1,0)</f>
        <v/>
      </c>
      <c r="AJ24">
        <f>IF(AND(SUMIF(ShiftCode,G24,ShiftHours)&gt;0,SUMPRODUCT((Leave!$A$2:$A$20=$A24)*(Leave!$B$2:$B$20&lt;=G$4)*(Leave!$C$2:$C$20&gt;=G$4))&gt;0),1,0)</f>
        <v/>
      </c>
      <c r="AK24">
        <f>IF(AND(SUMIF(ShiftCode,H24,ShiftHours)&gt;0,SUMPRODUCT((Leave!$A$2:$A$20=$A24)*(Leave!$B$2:$B$20&lt;=H$4)*(Leave!$C$2:$C$20&gt;=H$4))&gt;0),1,0)</f>
        <v/>
      </c>
      <c r="AL24">
        <f>IF(AND(SUMIF(ShiftCode,I24,ShiftHours)&gt;0,SUMPRODUCT((Leave!$A$2:$A$20=$A24)*(Leave!$B$2:$B$20&lt;=I$4)*(Leave!$C$2:$C$20&gt;=I$4))&gt;0),1,0)</f>
        <v/>
      </c>
      <c r="AM24">
        <f>IF(AND(SUMIF(ShiftCode,J24,ShiftHours)&gt;0,SUMPRODUCT((Leave!$A$2:$A$20=$A24)*(Leave!$B$2:$B$20&lt;=J$4)*(Leave!$C$2:$C$20&gt;=J$4))&gt;0),1,0)</f>
        <v/>
      </c>
    </row>
    <row r="25">
      <c r="A25" s="15">
        <f>IF(Staff!A15="","",Staff!A15)</f>
        <v/>
      </c>
      <c r="B25" s="14">
        <f>IF(A25="","",VLOOKUP(A25,StaffTbl,2,FALSE))</f>
        <v/>
      </c>
      <c r="D25" s="9" t="inlineStr">
        <is>
          <t>WO</t>
        </is>
      </c>
      <c r="E25" s="9" t="inlineStr">
        <is>
          <t>D12</t>
        </is>
      </c>
      <c r="F25" s="9" t="inlineStr">
        <is>
          <t>WO</t>
        </is>
      </c>
      <c r="G25" s="9" t="inlineStr">
        <is>
          <t>N12</t>
        </is>
      </c>
      <c r="H25" s="9" t="inlineStr">
        <is>
          <t>WO</t>
        </is>
      </c>
      <c r="I25" s="9" t="inlineStr">
        <is>
          <t>N12</t>
        </is>
      </c>
      <c r="J25" s="9" t="inlineStr">
        <is>
          <t>WO</t>
        </is>
      </c>
      <c r="K25" s="14">
        <f>IF($A25="","",SUMPRODUCT(SUMIF(ShiftCode,D25:J25,ShiftHours)))</f>
        <v/>
      </c>
      <c r="L25" s="25">
        <f>IF($A25="","",IF(K25&gt;OT_Threshold,"OVER",""))</f>
        <v/>
      </c>
      <c r="M25" s="14">
        <f>IF($A25="","",MAX(R25:X25))</f>
        <v/>
      </c>
      <c r="N25" s="25">
        <f>IF($A25="","",IF(M25&gt;Max_Consecutive,"OVER",""))</f>
        <v/>
      </c>
      <c r="O25" s="14">
        <f>IF($A25="","",IF(MIN(Z25:AE25)=999,"",MIN(Z25:AE25)))</f>
        <v/>
      </c>
      <c r="P25" s="25">
        <f>IF($A25="","",IF(AND(O25&lt;&gt;"",O25&lt;Rest_Hours),"SHORT",""))</f>
        <v/>
      </c>
      <c r="Q25" s="25">
        <f>IF($A25="","",IF(SUM(AG25:AM25)&gt;0,"CHECK",""))</f>
        <v/>
      </c>
      <c r="R25">
        <f>IF(SUMIF(ShiftCode,D25,ShiftHours)&gt;0,1,0)</f>
        <v/>
      </c>
      <c r="S25">
        <f>IF(SUMIF(ShiftCode,E25,ShiftHours)&gt;0,R25+1,0)</f>
        <v/>
      </c>
      <c r="T25">
        <f>IF(SUMIF(ShiftCode,F25,ShiftHours)&gt;0,S25+1,0)</f>
        <v/>
      </c>
      <c r="U25">
        <f>IF(SUMIF(ShiftCode,G25,ShiftHours)&gt;0,T25+1,0)</f>
        <v/>
      </c>
      <c r="V25">
        <f>IF(SUMIF(ShiftCode,H25,ShiftHours)&gt;0,U25+1,0)</f>
        <v/>
      </c>
      <c r="W25">
        <f>IF(SUMIF(ShiftCode,I25,ShiftHours)&gt;0,V25+1,0)</f>
        <v/>
      </c>
      <c r="X25">
        <f>IF(SUMIF(ShiftCode,J25,ShiftHours)&gt;0,W25+1,0)</f>
        <v/>
      </c>
      <c r="Z25">
        <f>IF(AND(SUMIF(ShiftCode,D25,ShiftHours)&gt;0,SUMIF(ShiftCode,E25,ShiftHours)&gt;0),24+VLOOKUP(E25,ShiftFull,5,FALSE)-VLOOKUP(D25,ShiftFull,6,FALSE),999)</f>
        <v/>
      </c>
      <c r="AA25">
        <f>IF(AND(SUMIF(ShiftCode,E25,ShiftHours)&gt;0,SUMIF(ShiftCode,F25,ShiftHours)&gt;0),24+VLOOKUP(F25,ShiftFull,5,FALSE)-VLOOKUP(E25,ShiftFull,6,FALSE),999)</f>
        <v/>
      </c>
      <c r="AB25">
        <f>IF(AND(SUMIF(ShiftCode,F25,ShiftHours)&gt;0,SUMIF(ShiftCode,G25,ShiftHours)&gt;0),24+VLOOKUP(G25,ShiftFull,5,FALSE)-VLOOKUP(F25,ShiftFull,6,FALSE),999)</f>
        <v/>
      </c>
      <c r="AC25">
        <f>IF(AND(SUMIF(ShiftCode,G25,ShiftHours)&gt;0,SUMIF(ShiftCode,H25,ShiftHours)&gt;0),24+VLOOKUP(H25,ShiftFull,5,FALSE)-VLOOKUP(G25,ShiftFull,6,FALSE),999)</f>
        <v/>
      </c>
      <c r="AD25">
        <f>IF(AND(SUMIF(ShiftCode,H25,ShiftHours)&gt;0,SUMIF(ShiftCode,I25,ShiftHours)&gt;0),24+VLOOKUP(I25,ShiftFull,5,FALSE)-VLOOKUP(H25,ShiftFull,6,FALSE),999)</f>
        <v/>
      </c>
      <c r="AE25">
        <f>IF(AND(SUMIF(ShiftCode,I25,ShiftHours)&gt;0,SUMIF(ShiftCode,J25,ShiftHours)&gt;0),24+VLOOKUP(J25,ShiftFull,5,FALSE)-VLOOKUP(I25,ShiftFull,6,FALSE),999)</f>
        <v/>
      </c>
      <c r="AG25">
        <f>IF(AND(SUMIF(ShiftCode,D25,ShiftHours)&gt;0,SUMPRODUCT((Leave!$A$2:$A$20=$A25)*(Leave!$B$2:$B$20&lt;=D$4)*(Leave!$C$2:$C$20&gt;=D$4))&gt;0),1,0)</f>
        <v/>
      </c>
      <c r="AH25">
        <f>IF(AND(SUMIF(ShiftCode,E25,ShiftHours)&gt;0,SUMPRODUCT((Leave!$A$2:$A$20=$A25)*(Leave!$B$2:$B$20&lt;=E$4)*(Leave!$C$2:$C$20&gt;=E$4))&gt;0),1,0)</f>
        <v/>
      </c>
      <c r="AI25">
        <f>IF(AND(SUMIF(ShiftCode,F25,ShiftHours)&gt;0,SUMPRODUCT((Leave!$A$2:$A$20=$A25)*(Leave!$B$2:$B$20&lt;=F$4)*(Leave!$C$2:$C$20&gt;=F$4))&gt;0),1,0)</f>
        <v/>
      </c>
      <c r="AJ25">
        <f>IF(AND(SUMIF(ShiftCode,G25,ShiftHours)&gt;0,SUMPRODUCT((Leave!$A$2:$A$20=$A25)*(Leave!$B$2:$B$20&lt;=G$4)*(Leave!$C$2:$C$20&gt;=G$4))&gt;0),1,0)</f>
        <v/>
      </c>
      <c r="AK25">
        <f>IF(AND(SUMIF(ShiftCode,H25,ShiftHours)&gt;0,SUMPRODUCT((Leave!$A$2:$A$20=$A25)*(Leave!$B$2:$B$20&lt;=H$4)*(Leave!$C$2:$C$20&gt;=H$4))&gt;0),1,0)</f>
        <v/>
      </c>
      <c r="AL25">
        <f>IF(AND(SUMIF(ShiftCode,I25,ShiftHours)&gt;0,SUMPRODUCT((Leave!$A$2:$A$20=$A25)*(Leave!$B$2:$B$20&lt;=I$4)*(Leave!$C$2:$C$20&gt;=I$4))&gt;0),1,0)</f>
        <v/>
      </c>
      <c r="AM25">
        <f>IF(AND(SUMIF(ShiftCode,J25,ShiftHours)&gt;0,SUMPRODUCT((Leave!$A$2:$A$20=$A25)*(Leave!$B$2:$B$20&lt;=J$4)*(Leave!$C$2:$C$20&gt;=J$4))&gt;0),1,0)</f>
        <v/>
      </c>
    </row>
    <row r="26">
      <c r="A26" s="15">
        <f>IF(Staff!A16="","",Staff!A16)</f>
        <v/>
      </c>
      <c r="B26" s="14">
        <f>IF(A26="","",VLOOKUP(A26,StaffTbl,2,FALSE))</f>
        <v/>
      </c>
      <c r="D26" s="9" t="inlineStr">
        <is>
          <t>WO</t>
        </is>
      </c>
      <c r="E26" s="9" t="inlineStr">
        <is>
          <t>N12</t>
        </is>
      </c>
      <c r="F26" s="9" t="inlineStr">
        <is>
          <t>WO</t>
        </is>
      </c>
      <c r="G26" s="9" t="inlineStr">
        <is>
          <t>N12</t>
        </is>
      </c>
      <c r="H26" s="9" t="inlineStr">
        <is>
          <t>WO</t>
        </is>
      </c>
      <c r="I26" s="9" t="inlineStr">
        <is>
          <t>WO</t>
        </is>
      </c>
      <c r="J26" s="9" t="inlineStr">
        <is>
          <t>D12</t>
        </is>
      </c>
      <c r="K26" s="14">
        <f>IF($A26="","",SUMPRODUCT(SUMIF(ShiftCode,D26:J26,ShiftHours)))</f>
        <v/>
      </c>
      <c r="L26" s="25">
        <f>IF($A26="","",IF(K26&gt;OT_Threshold,"OVER",""))</f>
        <v/>
      </c>
      <c r="M26" s="14">
        <f>IF($A26="","",MAX(R26:X26))</f>
        <v/>
      </c>
      <c r="N26" s="25">
        <f>IF($A26="","",IF(M26&gt;Max_Consecutive,"OVER",""))</f>
        <v/>
      </c>
      <c r="O26" s="14">
        <f>IF($A26="","",IF(MIN(Z26:AE26)=999,"",MIN(Z26:AE26)))</f>
        <v/>
      </c>
      <c r="P26" s="25">
        <f>IF($A26="","",IF(AND(O26&lt;&gt;"",O26&lt;Rest_Hours),"SHORT",""))</f>
        <v/>
      </c>
      <c r="Q26" s="25">
        <f>IF($A26="","",IF(SUM(AG26:AM26)&gt;0,"CHECK",""))</f>
        <v/>
      </c>
      <c r="R26">
        <f>IF(SUMIF(ShiftCode,D26,ShiftHours)&gt;0,1,0)</f>
        <v/>
      </c>
      <c r="S26">
        <f>IF(SUMIF(ShiftCode,E26,ShiftHours)&gt;0,R26+1,0)</f>
        <v/>
      </c>
      <c r="T26">
        <f>IF(SUMIF(ShiftCode,F26,ShiftHours)&gt;0,S26+1,0)</f>
        <v/>
      </c>
      <c r="U26">
        <f>IF(SUMIF(ShiftCode,G26,ShiftHours)&gt;0,T26+1,0)</f>
        <v/>
      </c>
      <c r="V26">
        <f>IF(SUMIF(ShiftCode,H26,ShiftHours)&gt;0,U26+1,0)</f>
        <v/>
      </c>
      <c r="W26">
        <f>IF(SUMIF(ShiftCode,I26,ShiftHours)&gt;0,V26+1,0)</f>
        <v/>
      </c>
      <c r="X26">
        <f>IF(SUMIF(ShiftCode,J26,ShiftHours)&gt;0,W26+1,0)</f>
        <v/>
      </c>
      <c r="Z26">
        <f>IF(AND(SUMIF(ShiftCode,D26,ShiftHours)&gt;0,SUMIF(ShiftCode,E26,ShiftHours)&gt;0),24+VLOOKUP(E26,ShiftFull,5,FALSE)-VLOOKUP(D26,ShiftFull,6,FALSE),999)</f>
        <v/>
      </c>
      <c r="AA26">
        <f>IF(AND(SUMIF(ShiftCode,E26,ShiftHours)&gt;0,SUMIF(ShiftCode,F26,ShiftHours)&gt;0),24+VLOOKUP(F26,ShiftFull,5,FALSE)-VLOOKUP(E26,ShiftFull,6,FALSE),999)</f>
        <v/>
      </c>
      <c r="AB26">
        <f>IF(AND(SUMIF(ShiftCode,F26,ShiftHours)&gt;0,SUMIF(ShiftCode,G26,ShiftHours)&gt;0),24+VLOOKUP(G26,ShiftFull,5,FALSE)-VLOOKUP(F26,ShiftFull,6,FALSE),999)</f>
        <v/>
      </c>
      <c r="AC26">
        <f>IF(AND(SUMIF(ShiftCode,G26,ShiftHours)&gt;0,SUMIF(ShiftCode,H26,ShiftHours)&gt;0),24+VLOOKUP(H26,ShiftFull,5,FALSE)-VLOOKUP(G26,ShiftFull,6,FALSE),999)</f>
        <v/>
      </c>
      <c r="AD26">
        <f>IF(AND(SUMIF(ShiftCode,H26,ShiftHours)&gt;0,SUMIF(ShiftCode,I26,ShiftHours)&gt;0),24+VLOOKUP(I26,ShiftFull,5,FALSE)-VLOOKUP(H26,ShiftFull,6,FALSE),999)</f>
        <v/>
      </c>
      <c r="AE26">
        <f>IF(AND(SUMIF(ShiftCode,I26,ShiftHours)&gt;0,SUMIF(ShiftCode,J26,ShiftHours)&gt;0),24+VLOOKUP(J26,ShiftFull,5,FALSE)-VLOOKUP(I26,ShiftFull,6,FALSE),999)</f>
        <v/>
      </c>
      <c r="AG26">
        <f>IF(AND(SUMIF(ShiftCode,D26,ShiftHours)&gt;0,SUMPRODUCT((Leave!$A$2:$A$20=$A26)*(Leave!$B$2:$B$20&lt;=D$4)*(Leave!$C$2:$C$20&gt;=D$4))&gt;0),1,0)</f>
        <v/>
      </c>
      <c r="AH26">
        <f>IF(AND(SUMIF(ShiftCode,E26,ShiftHours)&gt;0,SUMPRODUCT((Leave!$A$2:$A$20=$A26)*(Leave!$B$2:$B$20&lt;=E$4)*(Leave!$C$2:$C$20&gt;=E$4))&gt;0),1,0)</f>
        <v/>
      </c>
      <c r="AI26">
        <f>IF(AND(SUMIF(ShiftCode,F26,ShiftHours)&gt;0,SUMPRODUCT((Leave!$A$2:$A$20=$A26)*(Leave!$B$2:$B$20&lt;=F$4)*(Leave!$C$2:$C$20&gt;=F$4))&gt;0),1,0)</f>
        <v/>
      </c>
      <c r="AJ26">
        <f>IF(AND(SUMIF(ShiftCode,G26,ShiftHours)&gt;0,SUMPRODUCT((Leave!$A$2:$A$20=$A26)*(Leave!$B$2:$B$20&lt;=G$4)*(Leave!$C$2:$C$20&gt;=G$4))&gt;0),1,0)</f>
        <v/>
      </c>
      <c r="AK26">
        <f>IF(AND(SUMIF(ShiftCode,H26,ShiftHours)&gt;0,SUMPRODUCT((Leave!$A$2:$A$20=$A26)*(Leave!$B$2:$B$20&lt;=H$4)*(Leave!$C$2:$C$20&gt;=H$4))&gt;0),1,0)</f>
        <v/>
      </c>
      <c r="AL26">
        <f>IF(AND(SUMIF(ShiftCode,I26,ShiftHours)&gt;0,SUMPRODUCT((Leave!$A$2:$A$20=$A26)*(Leave!$B$2:$B$20&lt;=I$4)*(Leave!$C$2:$C$20&gt;=I$4))&gt;0),1,0)</f>
        <v/>
      </c>
      <c r="AM26">
        <f>IF(AND(SUMIF(ShiftCode,J26,ShiftHours)&gt;0,SUMPRODUCT((Leave!$A$2:$A$20=$A26)*(Leave!$B$2:$B$20&lt;=J$4)*(Leave!$C$2:$C$20&gt;=J$4))&gt;0),1,0)</f>
        <v/>
      </c>
    </row>
    <row r="27">
      <c r="A27" s="15">
        <f>IF(Staff!A17="","",Staff!A17)</f>
        <v/>
      </c>
      <c r="B27" s="14">
        <f>IF(A27="","",VLOOKUP(A27,StaffTbl,2,FALSE))</f>
        <v/>
      </c>
      <c r="D27" s="9" t="inlineStr">
        <is>
          <t>WO</t>
        </is>
      </c>
      <c r="E27" s="9" t="inlineStr">
        <is>
          <t>WO</t>
        </is>
      </c>
      <c r="F27" s="9" t="inlineStr">
        <is>
          <t>D12</t>
        </is>
      </c>
      <c r="G27" s="9" t="inlineStr">
        <is>
          <t>WO</t>
        </is>
      </c>
      <c r="H27" s="9" t="inlineStr">
        <is>
          <t>WO</t>
        </is>
      </c>
      <c r="I27" s="9" t="inlineStr">
        <is>
          <t>D12</t>
        </is>
      </c>
      <c r="J27" s="9" t="inlineStr">
        <is>
          <t>WO</t>
        </is>
      </c>
      <c r="K27" s="14">
        <f>IF($A27="","",SUMPRODUCT(SUMIF(ShiftCode,D27:J27,ShiftHours)))</f>
        <v/>
      </c>
      <c r="L27" s="25">
        <f>IF($A27="","",IF(K27&gt;OT_Threshold,"OVER",""))</f>
        <v/>
      </c>
      <c r="M27" s="14">
        <f>IF($A27="","",MAX(R27:X27))</f>
        <v/>
      </c>
      <c r="N27" s="25">
        <f>IF($A27="","",IF(M27&gt;Max_Consecutive,"OVER",""))</f>
        <v/>
      </c>
      <c r="O27" s="14">
        <f>IF($A27="","",IF(MIN(Z27:AE27)=999,"",MIN(Z27:AE27)))</f>
        <v/>
      </c>
      <c r="P27" s="25">
        <f>IF($A27="","",IF(AND(O27&lt;&gt;"",O27&lt;Rest_Hours),"SHORT",""))</f>
        <v/>
      </c>
      <c r="Q27" s="25">
        <f>IF($A27="","",IF(SUM(AG27:AM27)&gt;0,"CHECK",""))</f>
        <v/>
      </c>
      <c r="R27">
        <f>IF(SUMIF(ShiftCode,D27,ShiftHours)&gt;0,1,0)</f>
        <v/>
      </c>
      <c r="S27">
        <f>IF(SUMIF(ShiftCode,E27,ShiftHours)&gt;0,R27+1,0)</f>
        <v/>
      </c>
      <c r="T27">
        <f>IF(SUMIF(ShiftCode,F27,ShiftHours)&gt;0,S27+1,0)</f>
        <v/>
      </c>
      <c r="U27">
        <f>IF(SUMIF(ShiftCode,G27,ShiftHours)&gt;0,T27+1,0)</f>
        <v/>
      </c>
      <c r="V27">
        <f>IF(SUMIF(ShiftCode,H27,ShiftHours)&gt;0,U27+1,0)</f>
        <v/>
      </c>
      <c r="W27">
        <f>IF(SUMIF(ShiftCode,I27,ShiftHours)&gt;0,V27+1,0)</f>
        <v/>
      </c>
      <c r="X27">
        <f>IF(SUMIF(ShiftCode,J27,ShiftHours)&gt;0,W27+1,0)</f>
        <v/>
      </c>
      <c r="Z27">
        <f>IF(AND(SUMIF(ShiftCode,D27,ShiftHours)&gt;0,SUMIF(ShiftCode,E27,ShiftHours)&gt;0),24+VLOOKUP(E27,ShiftFull,5,FALSE)-VLOOKUP(D27,ShiftFull,6,FALSE),999)</f>
        <v/>
      </c>
      <c r="AA27">
        <f>IF(AND(SUMIF(ShiftCode,E27,ShiftHours)&gt;0,SUMIF(ShiftCode,F27,ShiftHours)&gt;0),24+VLOOKUP(F27,ShiftFull,5,FALSE)-VLOOKUP(E27,ShiftFull,6,FALSE),999)</f>
        <v/>
      </c>
      <c r="AB27">
        <f>IF(AND(SUMIF(ShiftCode,F27,ShiftHours)&gt;0,SUMIF(ShiftCode,G27,ShiftHours)&gt;0),24+VLOOKUP(G27,ShiftFull,5,FALSE)-VLOOKUP(F27,ShiftFull,6,FALSE),999)</f>
        <v/>
      </c>
      <c r="AC27">
        <f>IF(AND(SUMIF(ShiftCode,G27,ShiftHours)&gt;0,SUMIF(ShiftCode,H27,ShiftHours)&gt;0),24+VLOOKUP(H27,ShiftFull,5,FALSE)-VLOOKUP(G27,ShiftFull,6,FALSE),999)</f>
        <v/>
      </c>
      <c r="AD27">
        <f>IF(AND(SUMIF(ShiftCode,H27,ShiftHours)&gt;0,SUMIF(ShiftCode,I27,ShiftHours)&gt;0),24+VLOOKUP(I27,ShiftFull,5,FALSE)-VLOOKUP(H27,ShiftFull,6,FALSE),999)</f>
        <v/>
      </c>
      <c r="AE27">
        <f>IF(AND(SUMIF(ShiftCode,I27,ShiftHours)&gt;0,SUMIF(ShiftCode,J27,ShiftHours)&gt;0),24+VLOOKUP(J27,ShiftFull,5,FALSE)-VLOOKUP(I27,ShiftFull,6,FALSE),999)</f>
        <v/>
      </c>
      <c r="AG27">
        <f>IF(AND(SUMIF(ShiftCode,D27,ShiftHours)&gt;0,SUMPRODUCT((Leave!$A$2:$A$20=$A27)*(Leave!$B$2:$B$20&lt;=D$4)*(Leave!$C$2:$C$20&gt;=D$4))&gt;0),1,0)</f>
        <v/>
      </c>
      <c r="AH27">
        <f>IF(AND(SUMIF(ShiftCode,E27,ShiftHours)&gt;0,SUMPRODUCT((Leave!$A$2:$A$20=$A27)*(Leave!$B$2:$B$20&lt;=E$4)*(Leave!$C$2:$C$20&gt;=E$4))&gt;0),1,0)</f>
        <v/>
      </c>
      <c r="AI27">
        <f>IF(AND(SUMIF(ShiftCode,F27,ShiftHours)&gt;0,SUMPRODUCT((Leave!$A$2:$A$20=$A27)*(Leave!$B$2:$B$20&lt;=F$4)*(Leave!$C$2:$C$20&gt;=F$4))&gt;0),1,0)</f>
        <v/>
      </c>
      <c r="AJ27">
        <f>IF(AND(SUMIF(ShiftCode,G27,ShiftHours)&gt;0,SUMPRODUCT((Leave!$A$2:$A$20=$A27)*(Leave!$B$2:$B$20&lt;=G$4)*(Leave!$C$2:$C$20&gt;=G$4))&gt;0),1,0)</f>
        <v/>
      </c>
      <c r="AK27">
        <f>IF(AND(SUMIF(ShiftCode,H27,ShiftHours)&gt;0,SUMPRODUCT((Leave!$A$2:$A$20=$A27)*(Leave!$B$2:$B$20&lt;=H$4)*(Leave!$C$2:$C$20&gt;=H$4))&gt;0),1,0)</f>
        <v/>
      </c>
      <c r="AL27">
        <f>IF(AND(SUMIF(ShiftCode,I27,ShiftHours)&gt;0,SUMPRODUCT((Leave!$A$2:$A$20=$A27)*(Leave!$B$2:$B$20&lt;=I$4)*(Leave!$C$2:$C$20&gt;=I$4))&gt;0),1,0)</f>
        <v/>
      </c>
      <c r="AM27">
        <f>IF(AND(SUMIF(ShiftCode,J27,ShiftHours)&gt;0,SUMPRODUCT((Leave!$A$2:$A$20=$A27)*(Leave!$B$2:$B$20&lt;=J$4)*(Leave!$C$2:$C$20&gt;=J$4))&gt;0),1,0)</f>
        <v/>
      </c>
    </row>
    <row r="28">
      <c r="A28" s="15">
        <f>IF(Staff!A18="","",Staff!A18)</f>
        <v/>
      </c>
      <c r="B28" s="14">
        <f>IF(A28="","",VLOOKUP(A28,StaffTbl,2,FALSE))</f>
        <v/>
      </c>
      <c r="D28" s="9" t="inlineStr">
        <is>
          <t>WO</t>
        </is>
      </c>
      <c r="E28" s="9" t="inlineStr">
        <is>
          <t>WO</t>
        </is>
      </c>
      <c r="F28" s="9" t="inlineStr">
        <is>
          <t>D12</t>
        </is>
      </c>
      <c r="G28" s="9" t="inlineStr">
        <is>
          <t>WO</t>
        </is>
      </c>
      <c r="H28" s="9" t="inlineStr">
        <is>
          <t>WO</t>
        </is>
      </c>
      <c r="I28" s="9" t="inlineStr">
        <is>
          <t>D12</t>
        </is>
      </c>
      <c r="J28" s="9" t="inlineStr">
        <is>
          <t>WO</t>
        </is>
      </c>
      <c r="K28" s="14">
        <f>IF($A28="","",SUMPRODUCT(SUMIF(ShiftCode,D28:J28,ShiftHours)))</f>
        <v/>
      </c>
      <c r="L28" s="25">
        <f>IF($A28="","",IF(K28&gt;OT_Threshold,"OVER",""))</f>
        <v/>
      </c>
      <c r="M28" s="14">
        <f>IF($A28="","",MAX(R28:X28))</f>
        <v/>
      </c>
      <c r="N28" s="25">
        <f>IF($A28="","",IF(M28&gt;Max_Consecutive,"OVER",""))</f>
        <v/>
      </c>
      <c r="O28" s="14">
        <f>IF($A28="","",IF(MIN(Z28:AE28)=999,"",MIN(Z28:AE28)))</f>
        <v/>
      </c>
      <c r="P28" s="25">
        <f>IF($A28="","",IF(AND(O28&lt;&gt;"",O28&lt;Rest_Hours),"SHORT",""))</f>
        <v/>
      </c>
      <c r="Q28" s="25">
        <f>IF($A28="","",IF(SUM(AG28:AM28)&gt;0,"CHECK",""))</f>
        <v/>
      </c>
      <c r="R28">
        <f>IF(SUMIF(ShiftCode,D28,ShiftHours)&gt;0,1,0)</f>
        <v/>
      </c>
      <c r="S28">
        <f>IF(SUMIF(ShiftCode,E28,ShiftHours)&gt;0,R28+1,0)</f>
        <v/>
      </c>
      <c r="T28">
        <f>IF(SUMIF(ShiftCode,F28,ShiftHours)&gt;0,S28+1,0)</f>
        <v/>
      </c>
      <c r="U28">
        <f>IF(SUMIF(ShiftCode,G28,ShiftHours)&gt;0,T28+1,0)</f>
        <v/>
      </c>
      <c r="V28">
        <f>IF(SUMIF(ShiftCode,H28,ShiftHours)&gt;0,U28+1,0)</f>
        <v/>
      </c>
      <c r="W28">
        <f>IF(SUMIF(ShiftCode,I28,ShiftHours)&gt;0,V28+1,0)</f>
        <v/>
      </c>
      <c r="X28">
        <f>IF(SUMIF(ShiftCode,J28,ShiftHours)&gt;0,W28+1,0)</f>
        <v/>
      </c>
      <c r="Z28">
        <f>IF(AND(SUMIF(ShiftCode,D28,ShiftHours)&gt;0,SUMIF(ShiftCode,E28,ShiftHours)&gt;0),24+VLOOKUP(E28,ShiftFull,5,FALSE)-VLOOKUP(D28,ShiftFull,6,FALSE),999)</f>
        <v/>
      </c>
      <c r="AA28">
        <f>IF(AND(SUMIF(ShiftCode,E28,ShiftHours)&gt;0,SUMIF(ShiftCode,F28,ShiftHours)&gt;0),24+VLOOKUP(F28,ShiftFull,5,FALSE)-VLOOKUP(E28,ShiftFull,6,FALSE),999)</f>
        <v/>
      </c>
      <c r="AB28">
        <f>IF(AND(SUMIF(ShiftCode,F28,ShiftHours)&gt;0,SUMIF(ShiftCode,G28,ShiftHours)&gt;0),24+VLOOKUP(G28,ShiftFull,5,FALSE)-VLOOKUP(F28,ShiftFull,6,FALSE),999)</f>
        <v/>
      </c>
      <c r="AC28">
        <f>IF(AND(SUMIF(ShiftCode,G28,ShiftHours)&gt;0,SUMIF(ShiftCode,H28,ShiftHours)&gt;0),24+VLOOKUP(H28,ShiftFull,5,FALSE)-VLOOKUP(G28,ShiftFull,6,FALSE),999)</f>
        <v/>
      </c>
      <c r="AD28">
        <f>IF(AND(SUMIF(ShiftCode,H28,ShiftHours)&gt;0,SUMIF(ShiftCode,I28,ShiftHours)&gt;0),24+VLOOKUP(I28,ShiftFull,5,FALSE)-VLOOKUP(H28,ShiftFull,6,FALSE),999)</f>
        <v/>
      </c>
      <c r="AE28">
        <f>IF(AND(SUMIF(ShiftCode,I28,ShiftHours)&gt;0,SUMIF(ShiftCode,J28,ShiftHours)&gt;0),24+VLOOKUP(J28,ShiftFull,5,FALSE)-VLOOKUP(I28,ShiftFull,6,FALSE),999)</f>
        <v/>
      </c>
      <c r="AG28">
        <f>IF(AND(SUMIF(ShiftCode,D28,ShiftHours)&gt;0,SUMPRODUCT((Leave!$A$2:$A$20=$A28)*(Leave!$B$2:$B$20&lt;=D$4)*(Leave!$C$2:$C$20&gt;=D$4))&gt;0),1,0)</f>
        <v/>
      </c>
      <c r="AH28">
        <f>IF(AND(SUMIF(ShiftCode,E28,ShiftHours)&gt;0,SUMPRODUCT((Leave!$A$2:$A$20=$A28)*(Leave!$B$2:$B$20&lt;=E$4)*(Leave!$C$2:$C$20&gt;=E$4))&gt;0),1,0)</f>
        <v/>
      </c>
      <c r="AI28">
        <f>IF(AND(SUMIF(ShiftCode,F28,ShiftHours)&gt;0,SUMPRODUCT((Leave!$A$2:$A$20=$A28)*(Leave!$B$2:$B$20&lt;=F$4)*(Leave!$C$2:$C$20&gt;=F$4))&gt;0),1,0)</f>
        <v/>
      </c>
      <c r="AJ28">
        <f>IF(AND(SUMIF(ShiftCode,G28,ShiftHours)&gt;0,SUMPRODUCT((Leave!$A$2:$A$20=$A28)*(Leave!$B$2:$B$20&lt;=G$4)*(Leave!$C$2:$C$20&gt;=G$4))&gt;0),1,0)</f>
        <v/>
      </c>
      <c r="AK28">
        <f>IF(AND(SUMIF(ShiftCode,H28,ShiftHours)&gt;0,SUMPRODUCT((Leave!$A$2:$A$20=$A28)*(Leave!$B$2:$B$20&lt;=H$4)*(Leave!$C$2:$C$20&gt;=H$4))&gt;0),1,0)</f>
        <v/>
      </c>
      <c r="AL28">
        <f>IF(AND(SUMIF(ShiftCode,I28,ShiftHours)&gt;0,SUMPRODUCT((Leave!$A$2:$A$20=$A28)*(Leave!$B$2:$B$20&lt;=I$4)*(Leave!$C$2:$C$20&gt;=I$4))&gt;0),1,0)</f>
        <v/>
      </c>
      <c r="AM28">
        <f>IF(AND(SUMIF(ShiftCode,J28,ShiftHours)&gt;0,SUMPRODUCT((Leave!$A$2:$A$20=$A28)*(Leave!$B$2:$B$20&lt;=J$4)*(Leave!$C$2:$C$20&gt;=J$4))&gt;0),1,0)</f>
        <v/>
      </c>
    </row>
    <row r="29">
      <c r="A29" s="15">
        <f>IF(Staff!A19="","",Staff!A19)</f>
        <v/>
      </c>
      <c r="B29" s="14">
        <f>IF(A29="","",VLOOKUP(A29,StaffTbl,2,FALSE))</f>
        <v/>
      </c>
      <c r="D29" s="9" t="inlineStr">
        <is>
          <t>WO</t>
        </is>
      </c>
      <c r="E29" s="9" t="inlineStr">
        <is>
          <t>N12</t>
        </is>
      </c>
      <c r="F29" s="9" t="inlineStr">
        <is>
          <t>WO</t>
        </is>
      </c>
      <c r="G29" s="9" t="inlineStr">
        <is>
          <t>WO</t>
        </is>
      </c>
      <c r="H29" s="9" t="inlineStr">
        <is>
          <t>D12</t>
        </is>
      </c>
      <c r="I29" s="9" t="inlineStr">
        <is>
          <t>WO</t>
        </is>
      </c>
      <c r="J29" s="9" t="inlineStr">
        <is>
          <t>D12</t>
        </is>
      </c>
      <c r="K29" s="14">
        <f>IF($A29="","",SUMPRODUCT(SUMIF(ShiftCode,D29:J29,ShiftHours)))</f>
        <v/>
      </c>
      <c r="L29" s="25">
        <f>IF($A29="","",IF(K29&gt;OT_Threshold,"OVER",""))</f>
        <v/>
      </c>
      <c r="M29" s="14">
        <f>IF($A29="","",MAX(R29:X29))</f>
        <v/>
      </c>
      <c r="N29" s="25">
        <f>IF($A29="","",IF(M29&gt;Max_Consecutive,"OVER",""))</f>
        <v/>
      </c>
      <c r="O29" s="14">
        <f>IF($A29="","",IF(MIN(Z29:AE29)=999,"",MIN(Z29:AE29)))</f>
        <v/>
      </c>
      <c r="P29" s="25">
        <f>IF($A29="","",IF(AND(O29&lt;&gt;"",O29&lt;Rest_Hours),"SHORT",""))</f>
        <v/>
      </c>
      <c r="Q29" s="25">
        <f>IF($A29="","",IF(SUM(AG29:AM29)&gt;0,"CHECK",""))</f>
        <v/>
      </c>
      <c r="R29">
        <f>IF(SUMIF(ShiftCode,D29,ShiftHours)&gt;0,1,0)</f>
        <v/>
      </c>
      <c r="S29">
        <f>IF(SUMIF(ShiftCode,E29,ShiftHours)&gt;0,R29+1,0)</f>
        <v/>
      </c>
      <c r="T29">
        <f>IF(SUMIF(ShiftCode,F29,ShiftHours)&gt;0,S29+1,0)</f>
        <v/>
      </c>
      <c r="U29">
        <f>IF(SUMIF(ShiftCode,G29,ShiftHours)&gt;0,T29+1,0)</f>
        <v/>
      </c>
      <c r="V29">
        <f>IF(SUMIF(ShiftCode,H29,ShiftHours)&gt;0,U29+1,0)</f>
        <v/>
      </c>
      <c r="W29">
        <f>IF(SUMIF(ShiftCode,I29,ShiftHours)&gt;0,V29+1,0)</f>
        <v/>
      </c>
      <c r="X29">
        <f>IF(SUMIF(ShiftCode,J29,ShiftHours)&gt;0,W29+1,0)</f>
        <v/>
      </c>
      <c r="Z29">
        <f>IF(AND(SUMIF(ShiftCode,D29,ShiftHours)&gt;0,SUMIF(ShiftCode,E29,ShiftHours)&gt;0),24+VLOOKUP(E29,ShiftFull,5,FALSE)-VLOOKUP(D29,ShiftFull,6,FALSE),999)</f>
        <v/>
      </c>
      <c r="AA29">
        <f>IF(AND(SUMIF(ShiftCode,E29,ShiftHours)&gt;0,SUMIF(ShiftCode,F29,ShiftHours)&gt;0),24+VLOOKUP(F29,ShiftFull,5,FALSE)-VLOOKUP(E29,ShiftFull,6,FALSE),999)</f>
        <v/>
      </c>
      <c r="AB29">
        <f>IF(AND(SUMIF(ShiftCode,F29,ShiftHours)&gt;0,SUMIF(ShiftCode,G29,ShiftHours)&gt;0),24+VLOOKUP(G29,ShiftFull,5,FALSE)-VLOOKUP(F29,ShiftFull,6,FALSE),999)</f>
        <v/>
      </c>
      <c r="AC29">
        <f>IF(AND(SUMIF(ShiftCode,G29,ShiftHours)&gt;0,SUMIF(ShiftCode,H29,ShiftHours)&gt;0),24+VLOOKUP(H29,ShiftFull,5,FALSE)-VLOOKUP(G29,ShiftFull,6,FALSE),999)</f>
        <v/>
      </c>
      <c r="AD29">
        <f>IF(AND(SUMIF(ShiftCode,H29,ShiftHours)&gt;0,SUMIF(ShiftCode,I29,ShiftHours)&gt;0),24+VLOOKUP(I29,ShiftFull,5,FALSE)-VLOOKUP(H29,ShiftFull,6,FALSE),999)</f>
        <v/>
      </c>
      <c r="AE29">
        <f>IF(AND(SUMIF(ShiftCode,I29,ShiftHours)&gt;0,SUMIF(ShiftCode,J29,ShiftHours)&gt;0),24+VLOOKUP(J29,ShiftFull,5,FALSE)-VLOOKUP(I29,ShiftFull,6,FALSE),999)</f>
        <v/>
      </c>
      <c r="AG29">
        <f>IF(AND(SUMIF(ShiftCode,D29,ShiftHours)&gt;0,SUMPRODUCT((Leave!$A$2:$A$20=$A29)*(Leave!$B$2:$B$20&lt;=D$4)*(Leave!$C$2:$C$20&gt;=D$4))&gt;0),1,0)</f>
        <v/>
      </c>
      <c r="AH29">
        <f>IF(AND(SUMIF(ShiftCode,E29,ShiftHours)&gt;0,SUMPRODUCT((Leave!$A$2:$A$20=$A29)*(Leave!$B$2:$B$20&lt;=E$4)*(Leave!$C$2:$C$20&gt;=E$4))&gt;0),1,0)</f>
        <v/>
      </c>
      <c r="AI29">
        <f>IF(AND(SUMIF(ShiftCode,F29,ShiftHours)&gt;0,SUMPRODUCT((Leave!$A$2:$A$20=$A29)*(Leave!$B$2:$B$20&lt;=F$4)*(Leave!$C$2:$C$20&gt;=F$4))&gt;0),1,0)</f>
        <v/>
      </c>
      <c r="AJ29">
        <f>IF(AND(SUMIF(ShiftCode,G29,ShiftHours)&gt;0,SUMPRODUCT((Leave!$A$2:$A$20=$A29)*(Leave!$B$2:$B$20&lt;=G$4)*(Leave!$C$2:$C$20&gt;=G$4))&gt;0),1,0)</f>
        <v/>
      </c>
      <c r="AK29">
        <f>IF(AND(SUMIF(ShiftCode,H29,ShiftHours)&gt;0,SUMPRODUCT((Leave!$A$2:$A$20=$A29)*(Leave!$B$2:$B$20&lt;=H$4)*(Leave!$C$2:$C$20&gt;=H$4))&gt;0),1,0)</f>
        <v/>
      </c>
      <c r="AL29">
        <f>IF(AND(SUMIF(ShiftCode,I29,ShiftHours)&gt;0,SUMPRODUCT((Leave!$A$2:$A$20=$A29)*(Leave!$B$2:$B$20&lt;=I$4)*(Leave!$C$2:$C$20&gt;=I$4))&gt;0),1,0)</f>
        <v/>
      </c>
      <c r="AM29">
        <f>IF(AND(SUMIF(ShiftCode,J29,ShiftHours)&gt;0,SUMPRODUCT((Leave!$A$2:$A$20=$A29)*(Leave!$B$2:$B$20&lt;=J$4)*(Leave!$C$2:$C$20&gt;=J$4))&gt;0),1,0)</f>
        <v/>
      </c>
    </row>
    <row r="30">
      <c r="A30" s="15">
        <f>IF(Staff!A20="","",Staff!A20)</f>
        <v/>
      </c>
      <c r="B30" s="14">
        <f>IF(A30="","",VLOOKUP(A30,StaffTbl,2,FALSE))</f>
        <v/>
      </c>
      <c r="D30" s="9" t="inlineStr">
        <is>
          <t>WO</t>
        </is>
      </c>
      <c r="E30" s="9" t="inlineStr">
        <is>
          <t>WO</t>
        </is>
      </c>
      <c r="F30" s="9" t="inlineStr">
        <is>
          <t>D12</t>
        </is>
      </c>
      <c r="G30" s="9" t="inlineStr">
        <is>
          <t>WO</t>
        </is>
      </c>
      <c r="H30" s="9" t="inlineStr">
        <is>
          <t>D12</t>
        </is>
      </c>
      <c r="I30" s="9" t="inlineStr">
        <is>
          <t>WO</t>
        </is>
      </c>
      <c r="J30" s="9" t="inlineStr">
        <is>
          <t>D12</t>
        </is>
      </c>
      <c r="K30" s="14">
        <f>IF($A30="","",SUMPRODUCT(SUMIF(ShiftCode,D30:J30,ShiftHours)))</f>
        <v/>
      </c>
      <c r="L30" s="25">
        <f>IF($A30="","",IF(K30&gt;OT_Threshold,"OVER",""))</f>
        <v/>
      </c>
      <c r="M30" s="14">
        <f>IF($A30="","",MAX(R30:X30))</f>
        <v/>
      </c>
      <c r="N30" s="25">
        <f>IF($A30="","",IF(M30&gt;Max_Consecutive,"OVER",""))</f>
        <v/>
      </c>
      <c r="O30" s="14">
        <f>IF($A30="","",IF(MIN(Z30:AE30)=999,"",MIN(Z30:AE30)))</f>
        <v/>
      </c>
      <c r="P30" s="25">
        <f>IF($A30="","",IF(AND(O30&lt;&gt;"",O30&lt;Rest_Hours),"SHORT",""))</f>
        <v/>
      </c>
      <c r="Q30" s="25">
        <f>IF($A30="","",IF(SUM(AG30:AM30)&gt;0,"CHECK",""))</f>
        <v/>
      </c>
      <c r="R30">
        <f>IF(SUMIF(ShiftCode,D30,ShiftHours)&gt;0,1,0)</f>
        <v/>
      </c>
      <c r="S30">
        <f>IF(SUMIF(ShiftCode,E30,ShiftHours)&gt;0,R30+1,0)</f>
        <v/>
      </c>
      <c r="T30">
        <f>IF(SUMIF(ShiftCode,F30,ShiftHours)&gt;0,S30+1,0)</f>
        <v/>
      </c>
      <c r="U30">
        <f>IF(SUMIF(ShiftCode,G30,ShiftHours)&gt;0,T30+1,0)</f>
        <v/>
      </c>
      <c r="V30">
        <f>IF(SUMIF(ShiftCode,H30,ShiftHours)&gt;0,U30+1,0)</f>
        <v/>
      </c>
      <c r="W30">
        <f>IF(SUMIF(ShiftCode,I30,ShiftHours)&gt;0,V30+1,0)</f>
        <v/>
      </c>
      <c r="X30">
        <f>IF(SUMIF(ShiftCode,J30,ShiftHours)&gt;0,W30+1,0)</f>
        <v/>
      </c>
      <c r="Z30">
        <f>IF(AND(SUMIF(ShiftCode,D30,ShiftHours)&gt;0,SUMIF(ShiftCode,E30,ShiftHours)&gt;0),24+VLOOKUP(E30,ShiftFull,5,FALSE)-VLOOKUP(D30,ShiftFull,6,FALSE),999)</f>
        <v/>
      </c>
      <c r="AA30">
        <f>IF(AND(SUMIF(ShiftCode,E30,ShiftHours)&gt;0,SUMIF(ShiftCode,F30,ShiftHours)&gt;0),24+VLOOKUP(F30,ShiftFull,5,FALSE)-VLOOKUP(E30,ShiftFull,6,FALSE),999)</f>
        <v/>
      </c>
      <c r="AB30">
        <f>IF(AND(SUMIF(ShiftCode,F30,ShiftHours)&gt;0,SUMIF(ShiftCode,G30,ShiftHours)&gt;0),24+VLOOKUP(G30,ShiftFull,5,FALSE)-VLOOKUP(F30,ShiftFull,6,FALSE),999)</f>
        <v/>
      </c>
      <c r="AC30">
        <f>IF(AND(SUMIF(ShiftCode,G30,ShiftHours)&gt;0,SUMIF(ShiftCode,H30,ShiftHours)&gt;0),24+VLOOKUP(H30,ShiftFull,5,FALSE)-VLOOKUP(G30,ShiftFull,6,FALSE),999)</f>
        <v/>
      </c>
      <c r="AD30">
        <f>IF(AND(SUMIF(ShiftCode,H30,ShiftHours)&gt;0,SUMIF(ShiftCode,I30,ShiftHours)&gt;0),24+VLOOKUP(I30,ShiftFull,5,FALSE)-VLOOKUP(H30,ShiftFull,6,FALSE),999)</f>
        <v/>
      </c>
      <c r="AE30">
        <f>IF(AND(SUMIF(ShiftCode,I30,ShiftHours)&gt;0,SUMIF(ShiftCode,J30,ShiftHours)&gt;0),24+VLOOKUP(J30,ShiftFull,5,FALSE)-VLOOKUP(I30,ShiftFull,6,FALSE),999)</f>
        <v/>
      </c>
      <c r="AG30">
        <f>IF(AND(SUMIF(ShiftCode,D30,ShiftHours)&gt;0,SUMPRODUCT((Leave!$A$2:$A$20=$A30)*(Leave!$B$2:$B$20&lt;=D$4)*(Leave!$C$2:$C$20&gt;=D$4))&gt;0),1,0)</f>
        <v/>
      </c>
      <c r="AH30">
        <f>IF(AND(SUMIF(ShiftCode,E30,ShiftHours)&gt;0,SUMPRODUCT((Leave!$A$2:$A$20=$A30)*(Leave!$B$2:$B$20&lt;=E$4)*(Leave!$C$2:$C$20&gt;=E$4))&gt;0),1,0)</f>
        <v/>
      </c>
      <c r="AI30">
        <f>IF(AND(SUMIF(ShiftCode,F30,ShiftHours)&gt;0,SUMPRODUCT((Leave!$A$2:$A$20=$A30)*(Leave!$B$2:$B$20&lt;=F$4)*(Leave!$C$2:$C$20&gt;=F$4))&gt;0),1,0)</f>
        <v/>
      </c>
      <c r="AJ30">
        <f>IF(AND(SUMIF(ShiftCode,G30,ShiftHours)&gt;0,SUMPRODUCT((Leave!$A$2:$A$20=$A30)*(Leave!$B$2:$B$20&lt;=G$4)*(Leave!$C$2:$C$20&gt;=G$4))&gt;0),1,0)</f>
        <v/>
      </c>
      <c r="AK30">
        <f>IF(AND(SUMIF(ShiftCode,H30,ShiftHours)&gt;0,SUMPRODUCT((Leave!$A$2:$A$20=$A30)*(Leave!$B$2:$B$20&lt;=H$4)*(Leave!$C$2:$C$20&gt;=H$4))&gt;0),1,0)</f>
        <v/>
      </c>
      <c r="AL30">
        <f>IF(AND(SUMIF(ShiftCode,I30,ShiftHours)&gt;0,SUMPRODUCT((Leave!$A$2:$A$20=$A30)*(Leave!$B$2:$B$20&lt;=I$4)*(Leave!$C$2:$C$20&gt;=I$4))&gt;0),1,0)</f>
        <v/>
      </c>
      <c r="AM30">
        <f>IF(AND(SUMIF(ShiftCode,J30,ShiftHours)&gt;0,SUMPRODUCT((Leave!$A$2:$A$20=$A30)*(Leave!$B$2:$B$20&lt;=J$4)*(Leave!$C$2:$C$20&gt;=J$4))&gt;0),1,0)</f>
        <v/>
      </c>
    </row>
    <row r="31">
      <c r="A31" s="15">
        <f>IF(Staff!A21="","",Staff!A21)</f>
        <v/>
      </c>
      <c r="B31" s="14">
        <f>IF(A31="","",VLOOKUP(A31,StaffTbl,2,FALSE))</f>
        <v/>
      </c>
      <c r="D31" s="9" t="inlineStr">
        <is>
          <t>WO</t>
        </is>
      </c>
      <c r="E31" s="9" t="inlineStr">
        <is>
          <t>WO</t>
        </is>
      </c>
      <c r="F31" s="9" t="inlineStr">
        <is>
          <t>N12</t>
        </is>
      </c>
      <c r="G31" s="9" t="inlineStr">
        <is>
          <t>WO</t>
        </is>
      </c>
      <c r="H31" s="9" t="inlineStr">
        <is>
          <t>WO</t>
        </is>
      </c>
      <c r="I31" s="9" t="inlineStr">
        <is>
          <t>N12</t>
        </is>
      </c>
      <c r="J31" s="9" t="inlineStr">
        <is>
          <t>WO</t>
        </is>
      </c>
      <c r="K31" s="14">
        <f>IF($A31="","",SUMPRODUCT(SUMIF(ShiftCode,D31:J31,ShiftHours)))</f>
        <v/>
      </c>
      <c r="L31" s="25">
        <f>IF($A31="","",IF(K31&gt;OT_Threshold,"OVER",""))</f>
        <v/>
      </c>
      <c r="M31" s="14">
        <f>IF($A31="","",MAX(R31:X31))</f>
        <v/>
      </c>
      <c r="N31" s="25">
        <f>IF($A31="","",IF(M31&gt;Max_Consecutive,"OVER",""))</f>
        <v/>
      </c>
      <c r="O31" s="14">
        <f>IF($A31="","",IF(MIN(Z31:AE31)=999,"",MIN(Z31:AE31)))</f>
        <v/>
      </c>
      <c r="P31" s="25">
        <f>IF($A31="","",IF(AND(O31&lt;&gt;"",O31&lt;Rest_Hours),"SHORT",""))</f>
        <v/>
      </c>
      <c r="Q31" s="25">
        <f>IF($A31="","",IF(SUM(AG31:AM31)&gt;0,"CHECK",""))</f>
        <v/>
      </c>
      <c r="R31">
        <f>IF(SUMIF(ShiftCode,D31,ShiftHours)&gt;0,1,0)</f>
        <v/>
      </c>
      <c r="S31">
        <f>IF(SUMIF(ShiftCode,E31,ShiftHours)&gt;0,R31+1,0)</f>
        <v/>
      </c>
      <c r="T31">
        <f>IF(SUMIF(ShiftCode,F31,ShiftHours)&gt;0,S31+1,0)</f>
        <v/>
      </c>
      <c r="U31">
        <f>IF(SUMIF(ShiftCode,G31,ShiftHours)&gt;0,T31+1,0)</f>
        <v/>
      </c>
      <c r="V31">
        <f>IF(SUMIF(ShiftCode,H31,ShiftHours)&gt;0,U31+1,0)</f>
        <v/>
      </c>
      <c r="W31">
        <f>IF(SUMIF(ShiftCode,I31,ShiftHours)&gt;0,V31+1,0)</f>
        <v/>
      </c>
      <c r="X31">
        <f>IF(SUMIF(ShiftCode,J31,ShiftHours)&gt;0,W31+1,0)</f>
        <v/>
      </c>
      <c r="Z31">
        <f>IF(AND(SUMIF(ShiftCode,D31,ShiftHours)&gt;0,SUMIF(ShiftCode,E31,ShiftHours)&gt;0),24+VLOOKUP(E31,ShiftFull,5,FALSE)-VLOOKUP(D31,ShiftFull,6,FALSE),999)</f>
        <v/>
      </c>
      <c r="AA31">
        <f>IF(AND(SUMIF(ShiftCode,E31,ShiftHours)&gt;0,SUMIF(ShiftCode,F31,ShiftHours)&gt;0),24+VLOOKUP(F31,ShiftFull,5,FALSE)-VLOOKUP(E31,ShiftFull,6,FALSE),999)</f>
        <v/>
      </c>
      <c r="AB31">
        <f>IF(AND(SUMIF(ShiftCode,F31,ShiftHours)&gt;0,SUMIF(ShiftCode,G31,ShiftHours)&gt;0),24+VLOOKUP(G31,ShiftFull,5,FALSE)-VLOOKUP(F31,ShiftFull,6,FALSE),999)</f>
        <v/>
      </c>
      <c r="AC31">
        <f>IF(AND(SUMIF(ShiftCode,G31,ShiftHours)&gt;0,SUMIF(ShiftCode,H31,ShiftHours)&gt;0),24+VLOOKUP(H31,ShiftFull,5,FALSE)-VLOOKUP(G31,ShiftFull,6,FALSE),999)</f>
        <v/>
      </c>
      <c r="AD31">
        <f>IF(AND(SUMIF(ShiftCode,H31,ShiftHours)&gt;0,SUMIF(ShiftCode,I31,ShiftHours)&gt;0),24+VLOOKUP(I31,ShiftFull,5,FALSE)-VLOOKUP(H31,ShiftFull,6,FALSE),999)</f>
        <v/>
      </c>
      <c r="AE31">
        <f>IF(AND(SUMIF(ShiftCode,I31,ShiftHours)&gt;0,SUMIF(ShiftCode,J31,ShiftHours)&gt;0),24+VLOOKUP(J31,ShiftFull,5,FALSE)-VLOOKUP(I31,ShiftFull,6,FALSE),999)</f>
        <v/>
      </c>
      <c r="AG31">
        <f>IF(AND(SUMIF(ShiftCode,D31,ShiftHours)&gt;0,SUMPRODUCT((Leave!$A$2:$A$20=$A31)*(Leave!$B$2:$B$20&lt;=D$4)*(Leave!$C$2:$C$20&gt;=D$4))&gt;0),1,0)</f>
        <v/>
      </c>
      <c r="AH31">
        <f>IF(AND(SUMIF(ShiftCode,E31,ShiftHours)&gt;0,SUMPRODUCT((Leave!$A$2:$A$20=$A31)*(Leave!$B$2:$B$20&lt;=E$4)*(Leave!$C$2:$C$20&gt;=E$4))&gt;0),1,0)</f>
        <v/>
      </c>
      <c r="AI31">
        <f>IF(AND(SUMIF(ShiftCode,F31,ShiftHours)&gt;0,SUMPRODUCT((Leave!$A$2:$A$20=$A31)*(Leave!$B$2:$B$20&lt;=F$4)*(Leave!$C$2:$C$20&gt;=F$4))&gt;0),1,0)</f>
        <v/>
      </c>
      <c r="AJ31">
        <f>IF(AND(SUMIF(ShiftCode,G31,ShiftHours)&gt;0,SUMPRODUCT((Leave!$A$2:$A$20=$A31)*(Leave!$B$2:$B$20&lt;=G$4)*(Leave!$C$2:$C$20&gt;=G$4))&gt;0),1,0)</f>
        <v/>
      </c>
      <c r="AK31">
        <f>IF(AND(SUMIF(ShiftCode,H31,ShiftHours)&gt;0,SUMPRODUCT((Leave!$A$2:$A$20=$A31)*(Leave!$B$2:$B$20&lt;=H$4)*(Leave!$C$2:$C$20&gt;=H$4))&gt;0),1,0)</f>
        <v/>
      </c>
      <c r="AL31">
        <f>IF(AND(SUMIF(ShiftCode,I31,ShiftHours)&gt;0,SUMPRODUCT((Leave!$A$2:$A$20=$A31)*(Leave!$B$2:$B$20&lt;=I$4)*(Leave!$C$2:$C$20&gt;=I$4))&gt;0),1,0)</f>
        <v/>
      </c>
      <c r="AM31">
        <f>IF(AND(SUMIF(ShiftCode,J31,ShiftHours)&gt;0,SUMPRODUCT((Leave!$A$2:$A$20=$A31)*(Leave!$B$2:$B$20&lt;=J$4)*(Leave!$C$2:$C$20&gt;=J$4))&gt;0),1,0)</f>
        <v/>
      </c>
    </row>
    <row r="32">
      <c r="A32" s="15">
        <f>IF(Staff!A22="","",Staff!A22)</f>
        <v/>
      </c>
      <c r="B32" s="14">
        <f>IF(A32="","",VLOOKUP(A32,StaffTbl,2,FALSE))</f>
        <v/>
      </c>
      <c r="D32" s="9" t="n"/>
      <c r="E32" s="9" t="n"/>
      <c r="F32" s="9" t="n"/>
      <c r="G32" s="9" t="n"/>
      <c r="H32" s="9" t="n"/>
      <c r="I32" s="9" t="n"/>
      <c r="J32" s="9" t="n"/>
      <c r="K32" s="14">
        <f>IF($A32="","",SUMPRODUCT(SUMIF(ShiftCode,D32:J32,ShiftHours)))</f>
        <v/>
      </c>
      <c r="L32" s="25">
        <f>IF($A32="","",IF(K32&gt;OT_Threshold,"OVER",""))</f>
        <v/>
      </c>
      <c r="M32" s="14">
        <f>IF($A32="","",MAX(R32:X32))</f>
        <v/>
      </c>
      <c r="N32" s="25">
        <f>IF($A32="","",IF(M32&gt;Max_Consecutive,"OVER",""))</f>
        <v/>
      </c>
      <c r="O32" s="14">
        <f>IF($A32="","",IF(MIN(Z32:AE32)=999,"",MIN(Z32:AE32)))</f>
        <v/>
      </c>
      <c r="P32" s="25">
        <f>IF($A32="","",IF(AND(O32&lt;&gt;"",O32&lt;Rest_Hours),"SHORT",""))</f>
        <v/>
      </c>
      <c r="Q32" s="25">
        <f>IF($A32="","",IF(SUM(AG32:AM32)&gt;0,"CHECK",""))</f>
        <v/>
      </c>
      <c r="R32">
        <f>IF(SUMIF(ShiftCode,D32,ShiftHours)&gt;0,1,0)</f>
        <v/>
      </c>
      <c r="S32">
        <f>IF(SUMIF(ShiftCode,E32,ShiftHours)&gt;0,R32+1,0)</f>
        <v/>
      </c>
      <c r="T32">
        <f>IF(SUMIF(ShiftCode,F32,ShiftHours)&gt;0,S32+1,0)</f>
        <v/>
      </c>
      <c r="U32">
        <f>IF(SUMIF(ShiftCode,G32,ShiftHours)&gt;0,T32+1,0)</f>
        <v/>
      </c>
      <c r="V32">
        <f>IF(SUMIF(ShiftCode,H32,ShiftHours)&gt;0,U32+1,0)</f>
        <v/>
      </c>
      <c r="W32">
        <f>IF(SUMIF(ShiftCode,I32,ShiftHours)&gt;0,V32+1,0)</f>
        <v/>
      </c>
      <c r="X32">
        <f>IF(SUMIF(ShiftCode,J32,ShiftHours)&gt;0,W32+1,0)</f>
        <v/>
      </c>
      <c r="Z32">
        <f>IF(AND(SUMIF(ShiftCode,D32,ShiftHours)&gt;0,SUMIF(ShiftCode,E32,ShiftHours)&gt;0),24+VLOOKUP(E32,ShiftFull,5,FALSE)-VLOOKUP(D32,ShiftFull,6,FALSE),999)</f>
        <v/>
      </c>
      <c r="AA32">
        <f>IF(AND(SUMIF(ShiftCode,E32,ShiftHours)&gt;0,SUMIF(ShiftCode,F32,ShiftHours)&gt;0),24+VLOOKUP(F32,ShiftFull,5,FALSE)-VLOOKUP(E32,ShiftFull,6,FALSE),999)</f>
        <v/>
      </c>
      <c r="AB32">
        <f>IF(AND(SUMIF(ShiftCode,F32,ShiftHours)&gt;0,SUMIF(ShiftCode,G32,ShiftHours)&gt;0),24+VLOOKUP(G32,ShiftFull,5,FALSE)-VLOOKUP(F32,ShiftFull,6,FALSE),999)</f>
        <v/>
      </c>
      <c r="AC32">
        <f>IF(AND(SUMIF(ShiftCode,G32,ShiftHours)&gt;0,SUMIF(ShiftCode,H32,ShiftHours)&gt;0),24+VLOOKUP(H32,ShiftFull,5,FALSE)-VLOOKUP(G32,ShiftFull,6,FALSE),999)</f>
        <v/>
      </c>
      <c r="AD32">
        <f>IF(AND(SUMIF(ShiftCode,H32,ShiftHours)&gt;0,SUMIF(ShiftCode,I32,ShiftHours)&gt;0),24+VLOOKUP(I32,ShiftFull,5,FALSE)-VLOOKUP(H32,ShiftFull,6,FALSE),999)</f>
        <v/>
      </c>
      <c r="AE32">
        <f>IF(AND(SUMIF(ShiftCode,I32,ShiftHours)&gt;0,SUMIF(ShiftCode,J32,ShiftHours)&gt;0),24+VLOOKUP(J32,ShiftFull,5,FALSE)-VLOOKUP(I32,ShiftFull,6,FALSE),999)</f>
        <v/>
      </c>
      <c r="AG32">
        <f>IF(AND(SUMIF(ShiftCode,D32,ShiftHours)&gt;0,SUMPRODUCT((Leave!$A$2:$A$20=$A32)*(Leave!$B$2:$B$20&lt;=D$4)*(Leave!$C$2:$C$20&gt;=D$4))&gt;0),1,0)</f>
        <v/>
      </c>
      <c r="AH32">
        <f>IF(AND(SUMIF(ShiftCode,E32,ShiftHours)&gt;0,SUMPRODUCT((Leave!$A$2:$A$20=$A32)*(Leave!$B$2:$B$20&lt;=E$4)*(Leave!$C$2:$C$20&gt;=E$4))&gt;0),1,0)</f>
        <v/>
      </c>
      <c r="AI32">
        <f>IF(AND(SUMIF(ShiftCode,F32,ShiftHours)&gt;0,SUMPRODUCT((Leave!$A$2:$A$20=$A32)*(Leave!$B$2:$B$20&lt;=F$4)*(Leave!$C$2:$C$20&gt;=F$4))&gt;0),1,0)</f>
        <v/>
      </c>
      <c r="AJ32">
        <f>IF(AND(SUMIF(ShiftCode,G32,ShiftHours)&gt;0,SUMPRODUCT((Leave!$A$2:$A$20=$A32)*(Leave!$B$2:$B$20&lt;=G$4)*(Leave!$C$2:$C$20&gt;=G$4))&gt;0),1,0)</f>
        <v/>
      </c>
      <c r="AK32">
        <f>IF(AND(SUMIF(ShiftCode,H32,ShiftHours)&gt;0,SUMPRODUCT((Leave!$A$2:$A$20=$A32)*(Leave!$B$2:$B$20&lt;=H$4)*(Leave!$C$2:$C$20&gt;=H$4))&gt;0),1,0)</f>
        <v/>
      </c>
      <c r="AL32">
        <f>IF(AND(SUMIF(ShiftCode,I32,ShiftHours)&gt;0,SUMPRODUCT((Leave!$A$2:$A$20=$A32)*(Leave!$B$2:$B$20&lt;=I$4)*(Leave!$C$2:$C$20&gt;=I$4))&gt;0),1,0)</f>
        <v/>
      </c>
      <c r="AM32">
        <f>IF(AND(SUMIF(ShiftCode,J32,ShiftHours)&gt;0,SUMPRODUCT((Leave!$A$2:$A$20=$A32)*(Leave!$B$2:$B$20&lt;=J$4)*(Leave!$C$2:$C$20&gt;=J$4))&gt;0),1,0)</f>
        <v/>
      </c>
    </row>
    <row r="33">
      <c r="A33" s="15">
        <f>IF(Staff!A23="","",Staff!A23)</f>
        <v/>
      </c>
      <c r="B33" s="14">
        <f>IF(A33="","",VLOOKUP(A33,StaffTbl,2,FALSE))</f>
        <v/>
      </c>
      <c r="D33" s="9" t="n"/>
      <c r="E33" s="9" t="n"/>
      <c r="F33" s="9" t="n"/>
      <c r="G33" s="9" t="n"/>
      <c r="H33" s="9" t="n"/>
      <c r="I33" s="9" t="n"/>
      <c r="J33" s="9" t="n"/>
      <c r="K33" s="14">
        <f>IF($A33="","",SUMPRODUCT(SUMIF(ShiftCode,D33:J33,ShiftHours)))</f>
        <v/>
      </c>
      <c r="L33" s="25">
        <f>IF($A33="","",IF(K33&gt;OT_Threshold,"OVER",""))</f>
        <v/>
      </c>
      <c r="M33" s="14">
        <f>IF($A33="","",MAX(R33:X33))</f>
        <v/>
      </c>
      <c r="N33" s="25">
        <f>IF($A33="","",IF(M33&gt;Max_Consecutive,"OVER",""))</f>
        <v/>
      </c>
      <c r="O33" s="14">
        <f>IF($A33="","",IF(MIN(Z33:AE33)=999,"",MIN(Z33:AE33)))</f>
        <v/>
      </c>
      <c r="P33" s="25">
        <f>IF($A33="","",IF(AND(O33&lt;&gt;"",O33&lt;Rest_Hours),"SHORT",""))</f>
        <v/>
      </c>
      <c r="Q33" s="25">
        <f>IF($A33="","",IF(SUM(AG33:AM33)&gt;0,"CHECK",""))</f>
        <v/>
      </c>
      <c r="R33">
        <f>IF(SUMIF(ShiftCode,D33,ShiftHours)&gt;0,1,0)</f>
        <v/>
      </c>
      <c r="S33">
        <f>IF(SUMIF(ShiftCode,E33,ShiftHours)&gt;0,R33+1,0)</f>
        <v/>
      </c>
      <c r="T33">
        <f>IF(SUMIF(ShiftCode,F33,ShiftHours)&gt;0,S33+1,0)</f>
        <v/>
      </c>
      <c r="U33">
        <f>IF(SUMIF(ShiftCode,G33,ShiftHours)&gt;0,T33+1,0)</f>
        <v/>
      </c>
      <c r="V33">
        <f>IF(SUMIF(ShiftCode,H33,ShiftHours)&gt;0,U33+1,0)</f>
        <v/>
      </c>
      <c r="W33">
        <f>IF(SUMIF(ShiftCode,I33,ShiftHours)&gt;0,V33+1,0)</f>
        <v/>
      </c>
      <c r="X33">
        <f>IF(SUMIF(ShiftCode,J33,ShiftHours)&gt;0,W33+1,0)</f>
        <v/>
      </c>
      <c r="Z33">
        <f>IF(AND(SUMIF(ShiftCode,D33,ShiftHours)&gt;0,SUMIF(ShiftCode,E33,ShiftHours)&gt;0),24+VLOOKUP(E33,ShiftFull,5,FALSE)-VLOOKUP(D33,ShiftFull,6,FALSE),999)</f>
        <v/>
      </c>
      <c r="AA33">
        <f>IF(AND(SUMIF(ShiftCode,E33,ShiftHours)&gt;0,SUMIF(ShiftCode,F33,ShiftHours)&gt;0),24+VLOOKUP(F33,ShiftFull,5,FALSE)-VLOOKUP(E33,ShiftFull,6,FALSE),999)</f>
        <v/>
      </c>
      <c r="AB33">
        <f>IF(AND(SUMIF(ShiftCode,F33,ShiftHours)&gt;0,SUMIF(ShiftCode,G33,ShiftHours)&gt;0),24+VLOOKUP(G33,ShiftFull,5,FALSE)-VLOOKUP(F33,ShiftFull,6,FALSE),999)</f>
        <v/>
      </c>
      <c r="AC33">
        <f>IF(AND(SUMIF(ShiftCode,G33,ShiftHours)&gt;0,SUMIF(ShiftCode,H33,ShiftHours)&gt;0),24+VLOOKUP(H33,ShiftFull,5,FALSE)-VLOOKUP(G33,ShiftFull,6,FALSE),999)</f>
        <v/>
      </c>
      <c r="AD33">
        <f>IF(AND(SUMIF(ShiftCode,H33,ShiftHours)&gt;0,SUMIF(ShiftCode,I33,ShiftHours)&gt;0),24+VLOOKUP(I33,ShiftFull,5,FALSE)-VLOOKUP(H33,ShiftFull,6,FALSE),999)</f>
        <v/>
      </c>
      <c r="AE33">
        <f>IF(AND(SUMIF(ShiftCode,I33,ShiftHours)&gt;0,SUMIF(ShiftCode,J33,ShiftHours)&gt;0),24+VLOOKUP(J33,ShiftFull,5,FALSE)-VLOOKUP(I33,ShiftFull,6,FALSE),999)</f>
        <v/>
      </c>
      <c r="AG33">
        <f>IF(AND(SUMIF(ShiftCode,D33,ShiftHours)&gt;0,SUMPRODUCT((Leave!$A$2:$A$20=$A33)*(Leave!$B$2:$B$20&lt;=D$4)*(Leave!$C$2:$C$20&gt;=D$4))&gt;0),1,0)</f>
        <v/>
      </c>
      <c r="AH33">
        <f>IF(AND(SUMIF(ShiftCode,E33,ShiftHours)&gt;0,SUMPRODUCT((Leave!$A$2:$A$20=$A33)*(Leave!$B$2:$B$20&lt;=E$4)*(Leave!$C$2:$C$20&gt;=E$4))&gt;0),1,0)</f>
        <v/>
      </c>
      <c r="AI33">
        <f>IF(AND(SUMIF(ShiftCode,F33,ShiftHours)&gt;0,SUMPRODUCT((Leave!$A$2:$A$20=$A33)*(Leave!$B$2:$B$20&lt;=F$4)*(Leave!$C$2:$C$20&gt;=F$4))&gt;0),1,0)</f>
        <v/>
      </c>
      <c r="AJ33">
        <f>IF(AND(SUMIF(ShiftCode,G33,ShiftHours)&gt;0,SUMPRODUCT((Leave!$A$2:$A$20=$A33)*(Leave!$B$2:$B$20&lt;=G$4)*(Leave!$C$2:$C$20&gt;=G$4))&gt;0),1,0)</f>
        <v/>
      </c>
      <c r="AK33">
        <f>IF(AND(SUMIF(ShiftCode,H33,ShiftHours)&gt;0,SUMPRODUCT((Leave!$A$2:$A$20=$A33)*(Leave!$B$2:$B$20&lt;=H$4)*(Leave!$C$2:$C$20&gt;=H$4))&gt;0),1,0)</f>
        <v/>
      </c>
      <c r="AL33">
        <f>IF(AND(SUMIF(ShiftCode,I33,ShiftHours)&gt;0,SUMPRODUCT((Leave!$A$2:$A$20=$A33)*(Leave!$B$2:$B$20&lt;=I$4)*(Leave!$C$2:$C$20&gt;=I$4))&gt;0),1,0)</f>
        <v/>
      </c>
      <c r="AM33">
        <f>IF(AND(SUMIF(ShiftCode,J33,ShiftHours)&gt;0,SUMPRODUCT((Leave!$A$2:$A$20=$A33)*(Leave!$B$2:$B$20&lt;=J$4)*(Leave!$C$2:$C$20&gt;=J$4))&gt;0),1,0)</f>
        <v/>
      </c>
    </row>
    <row r="34">
      <c r="A34" s="15">
        <f>IF(Staff!A24="","",Staff!A24)</f>
        <v/>
      </c>
      <c r="B34" s="14">
        <f>IF(A34="","",VLOOKUP(A34,StaffTbl,2,FALSE))</f>
        <v/>
      </c>
      <c r="D34" s="9" t="n"/>
      <c r="E34" s="9" t="n"/>
      <c r="F34" s="9" t="n"/>
      <c r="G34" s="9" t="n"/>
      <c r="H34" s="9" t="n"/>
      <c r="I34" s="9" t="n"/>
      <c r="J34" s="9" t="n"/>
      <c r="K34" s="14">
        <f>IF($A34="","",SUMPRODUCT(SUMIF(ShiftCode,D34:J34,ShiftHours)))</f>
        <v/>
      </c>
      <c r="L34" s="25">
        <f>IF($A34="","",IF(K34&gt;OT_Threshold,"OVER",""))</f>
        <v/>
      </c>
      <c r="M34" s="14">
        <f>IF($A34="","",MAX(R34:X34))</f>
        <v/>
      </c>
      <c r="N34" s="25">
        <f>IF($A34="","",IF(M34&gt;Max_Consecutive,"OVER",""))</f>
        <v/>
      </c>
      <c r="O34" s="14">
        <f>IF($A34="","",IF(MIN(Z34:AE34)=999,"",MIN(Z34:AE34)))</f>
        <v/>
      </c>
      <c r="P34" s="25">
        <f>IF($A34="","",IF(AND(O34&lt;&gt;"",O34&lt;Rest_Hours),"SHORT",""))</f>
        <v/>
      </c>
      <c r="Q34" s="25">
        <f>IF($A34="","",IF(SUM(AG34:AM34)&gt;0,"CHECK",""))</f>
        <v/>
      </c>
      <c r="R34">
        <f>IF(SUMIF(ShiftCode,D34,ShiftHours)&gt;0,1,0)</f>
        <v/>
      </c>
      <c r="S34">
        <f>IF(SUMIF(ShiftCode,E34,ShiftHours)&gt;0,R34+1,0)</f>
        <v/>
      </c>
      <c r="T34">
        <f>IF(SUMIF(ShiftCode,F34,ShiftHours)&gt;0,S34+1,0)</f>
        <v/>
      </c>
      <c r="U34">
        <f>IF(SUMIF(ShiftCode,G34,ShiftHours)&gt;0,T34+1,0)</f>
        <v/>
      </c>
      <c r="V34">
        <f>IF(SUMIF(ShiftCode,H34,ShiftHours)&gt;0,U34+1,0)</f>
        <v/>
      </c>
      <c r="W34">
        <f>IF(SUMIF(ShiftCode,I34,ShiftHours)&gt;0,V34+1,0)</f>
        <v/>
      </c>
      <c r="X34">
        <f>IF(SUMIF(ShiftCode,J34,ShiftHours)&gt;0,W34+1,0)</f>
        <v/>
      </c>
      <c r="Z34">
        <f>IF(AND(SUMIF(ShiftCode,D34,ShiftHours)&gt;0,SUMIF(ShiftCode,E34,ShiftHours)&gt;0),24+VLOOKUP(E34,ShiftFull,5,FALSE)-VLOOKUP(D34,ShiftFull,6,FALSE),999)</f>
        <v/>
      </c>
      <c r="AA34">
        <f>IF(AND(SUMIF(ShiftCode,E34,ShiftHours)&gt;0,SUMIF(ShiftCode,F34,ShiftHours)&gt;0),24+VLOOKUP(F34,ShiftFull,5,FALSE)-VLOOKUP(E34,ShiftFull,6,FALSE),999)</f>
        <v/>
      </c>
      <c r="AB34">
        <f>IF(AND(SUMIF(ShiftCode,F34,ShiftHours)&gt;0,SUMIF(ShiftCode,G34,ShiftHours)&gt;0),24+VLOOKUP(G34,ShiftFull,5,FALSE)-VLOOKUP(F34,ShiftFull,6,FALSE),999)</f>
        <v/>
      </c>
      <c r="AC34">
        <f>IF(AND(SUMIF(ShiftCode,G34,ShiftHours)&gt;0,SUMIF(ShiftCode,H34,ShiftHours)&gt;0),24+VLOOKUP(H34,ShiftFull,5,FALSE)-VLOOKUP(G34,ShiftFull,6,FALSE),999)</f>
        <v/>
      </c>
      <c r="AD34">
        <f>IF(AND(SUMIF(ShiftCode,H34,ShiftHours)&gt;0,SUMIF(ShiftCode,I34,ShiftHours)&gt;0),24+VLOOKUP(I34,ShiftFull,5,FALSE)-VLOOKUP(H34,ShiftFull,6,FALSE),999)</f>
        <v/>
      </c>
      <c r="AE34">
        <f>IF(AND(SUMIF(ShiftCode,I34,ShiftHours)&gt;0,SUMIF(ShiftCode,J34,ShiftHours)&gt;0),24+VLOOKUP(J34,ShiftFull,5,FALSE)-VLOOKUP(I34,ShiftFull,6,FALSE),999)</f>
        <v/>
      </c>
      <c r="AG34">
        <f>IF(AND(SUMIF(ShiftCode,D34,ShiftHours)&gt;0,SUMPRODUCT((Leave!$A$2:$A$20=$A34)*(Leave!$B$2:$B$20&lt;=D$4)*(Leave!$C$2:$C$20&gt;=D$4))&gt;0),1,0)</f>
        <v/>
      </c>
      <c r="AH34">
        <f>IF(AND(SUMIF(ShiftCode,E34,ShiftHours)&gt;0,SUMPRODUCT((Leave!$A$2:$A$20=$A34)*(Leave!$B$2:$B$20&lt;=E$4)*(Leave!$C$2:$C$20&gt;=E$4))&gt;0),1,0)</f>
        <v/>
      </c>
      <c r="AI34">
        <f>IF(AND(SUMIF(ShiftCode,F34,ShiftHours)&gt;0,SUMPRODUCT((Leave!$A$2:$A$20=$A34)*(Leave!$B$2:$B$20&lt;=F$4)*(Leave!$C$2:$C$20&gt;=F$4))&gt;0),1,0)</f>
        <v/>
      </c>
      <c r="AJ34">
        <f>IF(AND(SUMIF(ShiftCode,G34,ShiftHours)&gt;0,SUMPRODUCT((Leave!$A$2:$A$20=$A34)*(Leave!$B$2:$B$20&lt;=G$4)*(Leave!$C$2:$C$20&gt;=G$4))&gt;0),1,0)</f>
        <v/>
      </c>
      <c r="AK34">
        <f>IF(AND(SUMIF(ShiftCode,H34,ShiftHours)&gt;0,SUMPRODUCT((Leave!$A$2:$A$20=$A34)*(Leave!$B$2:$B$20&lt;=H$4)*(Leave!$C$2:$C$20&gt;=H$4))&gt;0),1,0)</f>
        <v/>
      </c>
      <c r="AL34">
        <f>IF(AND(SUMIF(ShiftCode,I34,ShiftHours)&gt;0,SUMPRODUCT((Leave!$A$2:$A$20=$A34)*(Leave!$B$2:$B$20&lt;=I$4)*(Leave!$C$2:$C$20&gt;=I$4))&gt;0),1,0)</f>
        <v/>
      </c>
      <c r="AM34">
        <f>IF(AND(SUMIF(ShiftCode,J34,ShiftHours)&gt;0,SUMPRODUCT((Leave!$A$2:$A$20=$A34)*(Leave!$B$2:$B$20&lt;=J$4)*(Leave!$C$2:$C$20&gt;=J$4))&gt;0),1,0)</f>
        <v/>
      </c>
    </row>
    <row r="35">
      <c r="A35" s="15">
        <f>IF(Staff!A25="","",Staff!A25)</f>
        <v/>
      </c>
      <c r="B35" s="14">
        <f>IF(A35="","",VLOOKUP(A35,StaffTbl,2,FALSE))</f>
        <v/>
      </c>
      <c r="D35" s="9" t="n"/>
      <c r="E35" s="9" t="n"/>
      <c r="F35" s="9" t="n"/>
      <c r="G35" s="9" t="n"/>
      <c r="H35" s="9" t="n"/>
      <c r="I35" s="9" t="n"/>
      <c r="J35" s="9" t="n"/>
      <c r="K35" s="14">
        <f>IF($A35="","",SUMPRODUCT(SUMIF(ShiftCode,D35:J35,ShiftHours)))</f>
        <v/>
      </c>
      <c r="L35" s="25">
        <f>IF($A35="","",IF(K35&gt;OT_Threshold,"OVER",""))</f>
        <v/>
      </c>
      <c r="M35" s="14">
        <f>IF($A35="","",MAX(R35:X35))</f>
        <v/>
      </c>
      <c r="N35" s="25">
        <f>IF($A35="","",IF(M35&gt;Max_Consecutive,"OVER",""))</f>
        <v/>
      </c>
      <c r="O35" s="14">
        <f>IF($A35="","",IF(MIN(Z35:AE35)=999,"",MIN(Z35:AE35)))</f>
        <v/>
      </c>
      <c r="P35" s="25">
        <f>IF($A35="","",IF(AND(O35&lt;&gt;"",O35&lt;Rest_Hours),"SHORT",""))</f>
        <v/>
      </c>
      <c r="Q35" s="25">
        <f>IF($A35="","",IF(SUM(AG35:AM35)&gt;0,"CHECK",""))</f>
        <v/>
      </c>
      <c r="R35">
        <f>IF(SUMIF(ShiftCode,D35,ShiftHours)&gt;0,1,0)</f>
        <v/>
      </c>
      <c r="S35">
        <f>IF(SUMIF(ShiftCode,E35,ShiftHours)&gt;0,R35+1,0)</f>
        <v/>
      </c>
      <c r="T35">
        <f>IF(SUMIF(ShiftCode,F35,ShiftHours)&gt;0,S35+1,0)</f>
        <v/>
      </c>
      <c r="U35">
        <f>IF(SUMIF(ShiftCode,G35,ShiftHours)&gt;0,T35+1,0)</f>
        <v/>
      </c>
      <c r="V35">
        <f>IF(SUMIF(ShiftCode,H35,ShiftHours)&gt;0,U35+1,0)</f>
        <v/>
      </c>
      <c r="W35">
        <f>IF(SUMIF(ShiftCode,I35,ShiftHours)&gt;0,V35+1,0)</f>
        <v/>
      </c>
      <c r="X35">
        <f>IF(SUMIF(ShiftCode,J35,ShiftHours)&gt;0,W35+1,0)</f>
        <v/>
      </c>
      <c r="Z35">
        <f>IF(AND(SUMIF(ShiftCode,D35,ShiftHours)&gt;0,SUMIF(ShiftCode,E35,ShiftHours)&gt;0),24+VLOOKUP(E35,ShiftFull,5,FALSE)-VLOOKUP(D35,ShiftFull,6,FALSE),999)</f>
        <v/>
      </c>
      <c r="AA35">
        <f>IF(AND(SUMIF(ShiftCode,E35,ShiftHours)&gt;0,SUMIF(ShiftCode,F35,ShiftHours)&gt;0),24+VLOOKUP(F35,ShiftFull,5,FALSE)-VLOOKUP(E35,ShiftFull,6,FALSE),999)</f>
        <v/>
      </c>
      <c r="AB35">
        <f>IF(AND(SUMIF(ShiftCode,F35,ShiftHours)&gt;0,SUMIF(ShiftCode,G35,ShiftHours)&gt;0),24+VLOOKUP(G35,ShiftFull,5,FALSE)-VLOOKUP(F35,ShiftFull,6,FALSE),999)</f>
        <v/>
      </c>
      <c r="AC35">
        <f>IF(AND(SUMIF(ShiftCode,G35,ShiftHours)&gt;0,SUMIF(ShiftCode,H35,ShiftHours)&gt;0),24+VLOOKUP(H35,ShiftFull,5,FALSE)-VLOOKUP(G35,ShiftFull,6,FALSE),999)</f>
        <v/>
      </c>
      <c r="AD35">
        <f>IF(AND(SUMIF(ShiftCode,H35,ShiftHours)&gt;0,SUMIF(ShiftCode,I35,ShiftHours)&gt;0),24+VLOOKUP(I35,ShiftFull,5,FALSE)-VLOOKUP(H35,ShiftFull,6,FALSE),999)</f>
        <v/>
      </c>
      <c r="AE35">
        <f>IF(AND(SUMIF(ShiftCode,I35,ShiftHours)&gt;0,SUMIF(ShiftCode,J35,ShiftHours)&gt;0),24+VLOOKUP(J35,ShiftFull,5,FALSE)-VLOOKUP(I35,ShiftFull,6,FALSE),999)</f>
        <v/>
      </c>
      <c r="AG35">
        <f>IF(AND(SUMIF(ShiftCode,D35,ShiftHours)&gt;0,SUMPRODUCT((Leave!$A$2:$A$20=$A35)*(Leave!$B$2:$B$20&lt;=D$4)*(Leave!$C$2:$C$20&gt;=D$4))&gt;0),1,0)</f>
        <v/>
      </c>
      <c r="AH35">
        <f>IF(AND(SUMIF(ShiftCode,E35,ShiftHours)&gt;0,SUMPRODUCT((Leave!$A$2:$A$20=$A35)*(Leave!$B$2:$B$20&lt;=E$4)*(Leave!$C$2:$C$20&gt;=E$4))&gt;0),1,0)</f>
        <v/>
      </c>
      <c r="AI35">
        <f>IF(AND(SUMIF(ShiftCode,F35,ShiftHours)&gt;0,SUMPRODUCT((Leave!$A$2:$A$20=$A35)*(Leave!$B$2:$B$20&lt;=F$4)*(Leave!$C$2:$C$20&gt;=F$4))&gt;0),1,0)</f>
        <v/>
      </c>
      <c r="AJ35">
        <f>IF(AND(SUMIF(ShiftCode,G35,ShiftHours)&gt;0,SUMPRODUCT((Leave!$A$2:$A$20=$A35)*(Leave!$B$2:$B$20&lt;=G$4)*(Leave!$C$2:$C$20&gt;=G$4))&gt;0),1,0)</f>
        <v/>
      </c>
      <c r="AK35">
        <f>IF(AND(SUMIF(ShiftCode,H35,ShiftHours)&gt;0,SUMPRODUCT((Leave!$A$2:$A$20=$A35)*(Leave!$B$2:$B$20&lt;=H$4)*(Leave!$C$2:$C$20&gt;=H$4))&gt;0),1,0)</f>
        <v/>
      </c>
      <c r="AL35">
        <f>IF(AND(SUMIF(ShiftCode,I35,ShiftHours)&gt;0,SUMPRODUCT((Leave!$A$2:$A$20=$A35)*(Leave!$B$2:$B$20&lt;=I$4)*(Leave!$C$2:$C$20&gt;=I$4))&gt;0),1,0)</f>
        <v/>
      </c>
      <c r="AM35">
        <f>IF(AND(SUMIF(ShiftCode,J35,ShiftHours)&gt;0,SUMPRODUCT((Leave!$A$2:$A$20=$A35)*(Leave!$B$2:$B$20&lt;=J$4)*(Leave!$C$2:$C$20&gt;=J$4))&gt;0),1,0)</f>
        <v/>
      </c>
    </row>
    <row r="36">
      <c r="A36" s="15">
        <f>IF(Staff!A26="","",Staff!A26)</f>
        <v/>
      </c>
      <c r="B36" s="14">
        <f>IF(A36="","",VLOOKUP(A36,StaffTbl,2,FALSE))</f>
        <v/>
      </c>
      <c r="D36" s="9" t="n"/>
      <c r="E36" s="9" t="n"/>
      <c r="F36" s="9" t="n"/>
      <c r="G36" s="9" t="n"/>
      <c r="H36" s="9" t="n"/>
      <c r="I36" s="9" t="n"/>
      <c r="J36" s="9" t="n"/>
      <c r="K36" s="14">
        <f>IF($A36="","",SUMPRODUCT(SUMIF(ShiftCode,D36:J36,ShiftHours)))</f>
        <v/>
      </c>
      <c r="L36" s="25">
        <f>IF($A36="","",IF(K36&gt;OT_Threshold,"OVER",""))</f>
        <v/>
      </c>
      <c r="M36" s="14">
        <f>IF($A36="","",MAX(R36:X36))</f>
        <v/>
      </c>
      <c r="N36" s="25">
        <f>IF($A36="","",IF(M36&gt;Max_Consecutive,"OVER",""))</f>
        <v/>
      </c>
      <c r="O36" s="14">
        <f>IF($A36="","",IF(MIN(Z36:AE36)=999,"",MIN(Z36:AE36)))</f>
        <v/>
      </c>
      <c r="P36" s="25">
        <f>IF($A36="","",IF(AND(O36&lt;&gt;"",O36&lt;Rest_Hours),"SHORT",""))</f>
        <v/>
      </c>
      <c r="Q36" s="25">
        <f>IF($A36="","",IF(SUM(AG36:AM36)&gt;0,"CHECK",""))</f>
        <v/>
      </c>
      <c r="R36">
        <f>IF(SUMIF(ShiftCode,D36,ShiftHours)&gt;0,1,0)</f>
        <v/>
      </c>
      <c r="S36">
        <f>IF(SUMIF(ShiftCode,E36,ShiftHours)&gt;0,R36+1,0)</f>
        <v/>
      </c>
      <c r="T36">
        <f>IF(SUMIF(ShiftCode,F36,ShiftHours)&gt;0,S36+1,0)</f>
        <v/>
      </c>
      <c r="U36">
        <f>IF(SUMIF(ShiftCode,G36,ShiftHours)&gt;0,T36+1,0)</f>
        <v/>
      </c>
      <c r="V36">
        <f>IF(SUMIF(ShiftCode,H36,ShiftHours)&gt;0,U36+1,0)</f>
        <v/>
      </c>
      <c r="W36">
        <f>IF(SUMIF(ShiftCode,I36,ShiftHours)&gt;0,V36+1,0)</f>
        <v/>
      </c>
      <c r="X36">
        <f>IF(SUMIF(ShiftCode,J36,ShiftHours)&gt;0,W36+1,0)</f>
        <v/>
      </c>
      <c r="Z36">
        <f>IF(AND(SUMIF(ShiftCode,D36,ShiftHours)&gt;0,SUMIF(ShiftCode,E36,ShiftHours)&gt;0),24+VLOOKUP(E36,ShiftFull,5,FALSE)-VLOOKUP(D36,ShiftFull,6,FALSE),999)</f>
        <v/>
      </c>
      <c r="AA36">
        <f>IF(AND(SUMIF(ShiftCode,E36,ShiftHours)&gt;0,SUMIF(ShiftCode,F36,ShiftHours)&gt;0),24+VLOOKUP(F36,ShiftFull,5,FALSE)-VLOOKUP(E36,ShiftFull,6,FALSE),999)</f>
        <v/>
      </c>
      <c r="AB36">
        <f>IF(AND(SUMIF(ShiftCode,F36,ShiftHours)&gt;0,SUMIF(ShiftCode,G36,ShiftHours)&gt;0),24+VLOOKUP(G36,ShiftFull,5,FALSE)-VLOOKUP(F36,ShiftFull,6,FALSE),999)</f>
        <v/>
      </c>
      <c r="AC36">
        <f>IF(AND(SUMIF(ShiftCode,G36,ShiftHours)&gt;0,SUMIF(ShiftCode,H36,ShiftHours)&gt;0),24+VLOOKUP(H36,ShiftFull,5,FALSE)-VLOOKUP(G36,ShiftFull,6,FALSE),999)</f>
        <v/>
      </c>
      <c r="AD36">
        <f>IF(AND(SUMIF(ShiftCode,H36,ShiftHours)&gt;0,SUMIF(ShiftCode,I36,ShiftHours)&gt;0),24+VLOOKUP(I36,ShiftFull,5,FALSE)-VLOOKUP(H36,ShiftFull,6,FALSE),999)</f>
        <v/>
      </c>
      <c r="AE36">
        <f>IF(AND(SUMIF(ShiftCode,I36,ShiftHours)&gt;0,SUMIF(ShiftCode,J36,ShiftHours)&gt;0),24+VLOOKUP(J36,ShiftFull,5,FALSE)-VLOOKUP(I36,ShiftFull,6,FALSE),999)</f>
        <v/>
      </c>
      <c r="AG36">
        <f>IF(AND(SUMIF(ShiftCode,D36,ShiftHours)&gt;0,SUMPRODUCT((Leave!$A$2:$A$20=$A36)*(Leave!$B$2:$B$20&lt;=D$4)*(Leave!$C$2:$C$20&gt;=D$4))&gt;0),1,0)</f>
        <v/>
      </c>
      <c r="AH36">
        <f>IF(AND(SUMIF(ShiftCode,E36,ShiftHours)&gt;0,SUMPRODUCT((Leave!$A$2:$A$20=$A36)*(Leave!$B$2:$B$20&lt;=E$4)*(Leave!$C$2:$C$20&gt;=E$4))&gt;0),1,0)</f>
        <v/>
      </c>
      <c r="AI36">
        <f>IF(AND(SUMIF(ShiftCode,F36,ShiftHours)&gt;0,SUMPRODUCT((Leave!$A$2:$A$20=$A36)*(Leave!$B$2:$B$20&lt;=F$4)*(Leave!$C$2:$C$20&gt;=F$4))&gt;0),1,0)</f>
        <v/>
      </c>
      <c r="AJ36">
        <f>IF(AND(SUMIF(ShiftCode,G36,ShiftHours)&gt;0,SUMPRODUCT((Leave!$A$2:$A$20=$A36)*(Leave!$B$2:$B$20&lt;=G$4)*(Leave!$C$2:$C$20&gt;=G$4))&gt;0),1,0)</f>
        <v/>
      </c>
      <c r="AK36">
        <f>IF(AND(SUMIF(ShiftCode,H36,ShiftHours)&gt;0,SUMPRODUCT((Leave!$A$2:$A$20=$A36)*(Leave!$B$2:$B$20&lt;=H$4)*(Leave!$C$2:$C$20&gt;=H$4))&gt;0),1,0)</f>
        <v/>
      </c>
      <c r="AL36">
        <f>IF(AND(SUMIF(ShiftCode,I36,ShiftHours)&gt;0,SUMPRODUCT((Leave!$A$2:$A$20=$A36)*(Leave!$B$2:$B$20&lt;=I$4)*(Leave!$C$2:$C$20&gt;=I$4))&gt;0),1,0)</f>
        <v/>
      </c>
      <c r="AM36">
        <f>IF(AND(SUMIF(ShiftCode,J36,ShiftHours)&gt;0,SUMPRODUCT((Leave!$A$2:$A$20=$A36)*(Leave!$B$2:$B$20&lt;=J$4)*(Leave!$C$2:$C$20&gt;=J$4))&gt;0),1,0)</f>
        <v/>
      </c>
    </row>
    <row r="37">
      <c r="A37" s="15">
        <f>IF(Staff!A27="","",Staff!A27)</f>
        <v/>
      </c>
      <c r="B37" s="14">
        <f>IF(A37="","",VLOOKUP(A37,StaffTbl,2,FALSE))</f>
        <v/>
      </c>
      <c r="D37" s="9" t="n"/>
      <c r="E37" s="9" t="n"/>
      <c r="F37" s="9" t="n"/>
      <c r="G37" s="9" t="n"/>
      <c r="H37" s="9" t="n"/>
      <c r="I37" s="9" t="n"/>
      <c r="J37" s="9" t="n"/>
      <c r="K37" s="14">
        <f>IF($A37="","",SUMPRODUCT(SUMIF(ShiftCode,D37:J37,ShiftHours)))</f>
        <v/>
      </c>
      <c r="L37" s="25">
        <f>IF($A37="","",IF(K37&gt;OT_Threshold,"OVER",""))</f>
        <v/>
      </c>
      <c r="M37" s="14">
        <f>IF($A37="","",MAX(R37:X37))</f>
        <v/>
      </c>
      <c r="N37" s="25">
        <f>IF($A37="","",IF(M37&gt;Max_Consecutive,"OVER",""))</f>
        <v/>
      </c>
      <c r="O37" s="14">
        <f>IF($A37="","",IF(MIN(Z37:AE37)=999,"",MIN(Z37:AE37)))</f>
        <v/>
      </c>
      <c r="P37" s="25">
        <f>IF($A37="","",IF(AND(O37&lt;&gt;"",O37&lt;Rest_Hours),"SHORT",""))</f>
        <v/>
      </c>
      <c r="Q37" s="25">
        <f>IF($A37="","",IF(SUM(AG37:AM37)&gt;0,"CHECK",""))</f>
        <v/>
      </c>
      <c r="R37">
        <f>IF(SUMIF(ShiftCode,D37,ShiftHours)&gt;0,1,0)</f>
        <v/>
      </c>
      <c r="S37">
        <f>IF(SUMIF(ShiftCode,E37,ShiftHours)&gt;0,R37+1,0)</f>
        <v/>
      </c>
      <c r="T37">
        <f>IF(SUMIF(ShiftCode,F37,ShiftHours)&gt;0,S37+1,0)</f>
        <v/>
      </c>
      <c r="U37">
        <f>IF(SUMIF(ShiftCode,G37,ShiftHours)&gt;0,T37+1,0)</f>
        <v/>
      </c>
      <c r="V37">
        <f>IF(SUMIF(ShiftCode,H37,ShiftHours)&gt;0,U37+1,0)</f>
        <v/>
      </c>
      <c r="W37">
        <f>IF(SUMIF(ShiftCode,I37,ShiftHours)&gt;0,V37+1,0)</f>
        <v/>
      </c>
      <c r="X37">
        <f>IF(SUMIF(ShiftCode,J37,ShiftHours)&gt;0,W37+1,0)</f>
        <v/>
      </c>
      <c r="Z37">
        <f>IF(AND(SUMIF(ShiftCode,D37,ShiftHours)&gt;0,SUMIF(ShiftCode,E37,ShiftHours)&gt;0),24+VLOOKUP(E37,ShiftFull,5,FALSE)-VLOOKUP(D37,ShiftFull,6,FALSE),999)</f>
        <v/>
      </c>
      <c r="AA37">
        <f>IF(AND(SUMIF(ShiftCode,E37,ShiftHours)&gt;0,SUMIF(ShiftCode,F37,ShiftHours)&gt;0),24+VLOOKUP(F37,ShiftFull,5,FALSE)-VLOOKUP(E37,ShiftFull,6,FALSE),999)</f>
        <v/>
      </c>
      <c r="AB37">
        <f>IF(AND(SUMIF(ShiftCode,F37,ShiftHours)&gt;0,SUMIF(ShiftCode,G37,ShiftHours)&gt;0),24+VLOOKUP(G37,ShiftFull,5,FALSE)-VLOOKUP(F37,ShiftFull,6,FALSE),999)</f>
        <v/>
      </c>
      <c r="AC37">
        <f>IF(AND(SUMIF(ShiftCode,G37,ShiftHours)&gt;0,SUMIF(ShiftCode,H37,ShiftHours)&gt;0),24+VLOOKUP(H37,ShiftFull,5,FALSE)-VLOOKUP(G37,ShiftFull,6,FALSE),999)</f>
        <v/>
      </c>
      <c r="AD37">
        <f>IF(AND(SUMIF(ShiftCode,H37,ShiftHours)&gt;0,SUMIF(ShiftCode,I37,ShiftHours)&gt;0),24+VLOOKUP(I37,ShiftFull,5,FALSE)-VLOOKUP(H37,ShiftFull,6,FALSE),999)</f>
        <v/>
      </c>
      <c r="AE37">
        <f>IF(AND(SUMIF(ShiftCode,I37,ShiftHours)&gt;0,SUMIF(ShiftCode,J37,ShiftHours)&gt;0),24+VLOOKUP(J37,ShiftFull,5,FALSE)-VLOOKUP(I37,ShiftFull,6,FALSE),999)</f>
        <v/>
      </c>
      <c r="AG37">
        <f>IF(AND(SUMIF(ShiftCode,D37,ShiftHours)&gt;0,SUMPRODUCT((Leave!$A$2:$A$20=$A37)*(Leave!$B$2:$B$20&lt;=D$4)*(Leave!$C$2:$C$20&gt;=D$4))&gt;0),1,0)</f>
        <v/>
      </c>
      <c r="AH37">
        <f>IF(AND(SUMIF(ShiftCode,E37,ShiftHours)&gt;0,SUMPRODUCT((Leave!$A$2:$A$20=$A37)*(Leave!$B$2:$B$20&lt;=E$4)*(Leave!$C$2:$C$20&gt;=E$4))&gt;0),1,0)</f>
        <v/>
      </c>
      <c r="AI37">
        <f>IF(AND(SUMIF(ShiftCode,F37,ShiftHours)&gt;0,SUMPRODUCT((Leave!$A$2:$A$20=$A37)*(Leave!$B$2:$B$20&lt;=F$4)*(Leave!$C$2:$C$20&gt;=F$4))&gt;0),1,0)</f>
        <v/>
      </c>
      <c r="AJ37">
        <f>IF(AND(SUMIF(ShiftCode,G37,ShiftHours)&gt;0,SUMPRODUCT((Leave!$A$2:$A$20=$A37)*(Leave!$B$2:$B$20&lt;=G$4)*(Leave!$C$2:$C$20&gt;=G$4))&gt;0),1,0)</f>
        <v/>
      </c>
      <c r="AK37">
        <f>IF(AND(SUMIF(ShiftCode,H37,ShiftHours)&gt;0,SUMPRODUCT((Leave!$A$2:$A$20=$A37)*(Leave!$B$2:$B$20&lt;=H$4)*(Leave!$C$2:$C$20&gt;=H$4))&gt;0),1,0)</f>
        <v/>
      </c>
      <c r="AL37">
        <f>IF(AND(SUMIF(ShiftCode,I37,ShiftHours)&gt;0,SUMPRODUCT((Leave!$A$2:$A$20=$A37)*(Leave!$B$2:$B$20&lt;=I$4)*(Leave!$C$2:$C$20&gt;=I$4))&gt;0),1,0)</f>
        <v/>
      </c>
      <c r="AM37">
        <f>IF(AND(SUMIF(ShiftCode,J37,ShiftHours)&gt;0,SUMPRODUCT((Leave!$A$2:$A$20=$A37)*(Leave!$B$2:$B$20&lt;=J$4)*(Leave!$C$2:$C$20&gt;=J$4))&gt;0),1,0)</f>
        <v/>
      </c>
    </row>
    <row r="38">
      <c r="A38" s="15">
        <f>IF(Staff!A28="","",Staff!A28)</f>
        <v/>
      </c>
      <c r="B38" s="14">
        <f>IF(A38="","",VLOOKUP(A38,StaffTbl,2,FALSE))</f>
        <v/>
      </c>
      <c r="D38" s="9" t="n"/>
      <c r="E38" s="9" t="n"/>
      <c r="F38" s="9" t="n"/>
      <c r="G38" s="9" t="n"/>
      <c r="H38" s="9" t="n"/>
      <c r="I38" s="9" t="n"/>
      <c r="J38" s="9" t="n"/>
      <c r="K38" s="14">
        <f>IF($A38="","",SUMPRODUCT(SUMIF(ShiftCode,D38:J38,ShiftHours)))</f>
        <v/>
      </c>
      <c r="L38" s="25">
        <f>IF($A38="","",IF(K38&gt;OT_Threshold,"OVER",""))</f>
        <v/>
      </c>
      <c r="M38" s="14">
        <f>IF($A38="","",MAX(R38:X38))</f>
        <v/>
      </c>
      <c r="N38" s="25">
        <f>IF($A38="","",IF(M38&gt;Max_Consecutive,"OVER",""))</f>
        <v/>
      </c>
      <c r="O38" s="14">
        <f>IF($A38="","",IF(MIN(Z38:AE38)=999,"",MIN(Z38:AE38)))</f>
        <v/>
      </c>
      <c r="P38" s="25">
        <f>IF($A38="","",IF(AND(O38&lt;&gt;"",O38&lt;Rest_Hours),"SHORT",""))</f>
        <v/>
      </c>
      <c r="Q38" s="25">
        <f>IF($A38="","",IF(SUM(AG38:AM38)&gt;0,"CHECK",""))</f>
        <v/>
      </c>
      <c r="R38">
        <f>IF(SUMIF(ShiftCode,D38,ShiftHours)&gt;0,1,0)</f>
        <v/>
      </c>
      <c r="S38">
        <f>IF(SUMIF(ShiftCode,E38,ShiftHours)&gt;0,R38+1,0)</f>
        <v/>
      </c>
      <c r="T38">
        <f>IF(SUMIF(ShiftCode,F38,ShiftHours)&gt;0,S38+1,0)</f>
        <v/>
      </c>
      <c r="U38">
        <f>IF(SUMIF(ShiftCode,G38,ShiftHours)&gt;0,T38+1,0)</f>
        <v/>
      </c>
      <c r="V38">
        <f>IF(SUMIF(ShiftCode,H38,ShiftHours)&gt;0,U38+1,0)</f>
        <v/>
      </c>
      <c r="W38">
        <f>IF(SUMIF(ShiftCode,I38,ShiftHours)&gt;0,V38+1,0)</f>
        <v/>
      </c>
      <c r="X38">
        <f>IF(SUMIF(ShiftCode,J38,ShiftHours)&gt;0,W38+1,0)</f>
        <v/>
      </c>
      <c r="Z38">
        <f>IF(AND(SUMIF(ShiftCode,D38,ShiftHours)&gt;0,SUMIF(ShiftCode,E38,ShiftHours)&gt;0),24+VLOOKUP(E38,ShiftFull,5,FALSE)-VLOOKUP(D38,ShiftFull,6,FALSE),999)</f>
        <v/>
      </c>
      <c r="AA38">
        <f>IF(AND(SUMIF(ShiftCode,E38,ShiftHours)&gt;0,SUMIF(ShiftCode,F38,ShiftHours)&gt;0),24+VLOOKUP(F38,ShiftFull,5,FALSE)-VLOOKUP(E38,ShiftFull,6,FALSE),999)</f>
        <v/>
      </c>
      <c r="AB38">
        <f>IF(AND(SUMIF(ShiftCode,F38,ShiftHours)&gt;0,SUMIF(ShiftCode,G38,ShiftHours)&gt;0),24+VLOOKUP(G38,ShiftFull,5,FALSE)-VLOOKUP(F38,ShiftFull,6,FALSE),999)</f>
        <v/>
      </c>
      <c r="AC38">
        <f>IF(AND(SUMIF(ShiftCode,G38,ShiftHours)&gt;0,SUMIF(ShiftCode,H38,ShiftHours)&gt;0),24+VLOOKUP(H38,ShiftFull,5,FALSE)-VLOOKUP(G38,ShiftFull,6,FALSE),999)</f>
        <v/>
      </c>
      <c r="AD38">
        <f>IF(AND(SUMIF(ShiftCode,H38,ShiftHours)&gt;0,SUMIF(ShiftCode,I38,ShiftHours)&gt;0),24+VLOOKUP(I38,ShiftFull,5,FALSE)-VLOOKUP(H38,ShiftFull,6,FALSE),999)</f>
        <v/>
      </c>
      <c r="AE38">
        <f>IF(AND(SUMIF(ShiftCode,I38,ShiftHours)&gt;0,SUMIF(ShiftCode,J38,ShiftHours)&gt;0),24+VLOOKUP(J38,ShiftFull,5,FALSE)-VLOOKUP(I38,ShiftFull,6,FALSE),999)</f>
        <v/>
      </c>
      <c r="AG38">
        <f>IF(AND(SUMIF(ShiftCode,D38,ShiftHours)&gt;0,SUMPRODUCT((Leave!$A$2:$A$20=$A38)*(Leave!$B$2:$B$20&lt;=D$4)*(Leave!$C$2:$C$20&gt;=D$4))&gt;0),1,0)</f>
        <v/>
      </c>
      <c r="AH38">
        <f>IF(AND(SUMIF(ShiftCode,E38,ShiftHours)&gt;0,SUMPRODUCT((Leave!$A$2:$A$20=$A38)*(Leave!$B$2:$B$20&lt;=E$4)*(Leave!$C$2:$C$20&gt;=E$4))&gt;0),1,0)</f>
        <v/>
      </c>
      <c r="AI38">
        <f>IF(AND(SUMIF(ShiftCode,F38,ShiftHours)&gt;0,SUMPRODUCT((Leave!$A$2:$A$20=$A38)*(Leave!$B$2:$B$20&lt;=F$4)*(Leave!$C$2:$C$20&gt;=F$4))&gt;0),1,0)</f>
        <v/>
      </c>
      <c r="AJ38">
        <f>IF(AND(SUMIF(ShiftCode,G38,ShiftHours)&gt;0,SUMPRODUCT((Leave!$A$2:$A$20=$A38)*(Leave!$B$2:$B$20&lt;=G$4)*(Leave!$C$2:$C$20&gt;=G$4))&gt;0),1,0)</f>
        <v/>
      </c>
      <c r="AK38">
        <f>IF(AND(SUMIF(ShiftCode,H38,ShiftHours)&gt;0,SUMPRODUCT((Leave!$A$2:$A$20=$A38)*(Leave!$B$2:$B$20&lt;=H$4)*(Leave!$C$2:$C$20&gt;=H$4))&gt;0),1,0)</f>
        <v/>
      </c>
      <c r="AL38">
        <f>IF(AND(SUMIF(ShiftCode,I38,ShiftHours)&gt;0,SUMPRODUCT((Leave!$A$2:$A$20=$A38)*(Leave!$B$2:$B$20&lt;=I$4)*(Leave!$C$2:$C$20&gt;=I$4))&gt;0),1,0)</f>
        <v/>
      </c>
      <c r="AM38">
        <f>IF(AND(SUMIF(ShiftCode,J38,ShiftHours)&gt;0,SUMPRODUCT((Leave!$A$2:$A$20=$A38)*(Leave!$B$2:$B$20&lt;=J$4)*(Leave!$C$2:$C$20&gt;=J$4))&gt;0),1,0)</f>
        <v/>
      </c>
    </row>
    <row r="39">
      <c r="A39" s="15">
        <f>IF(Staff!A29="","",Staff!A29)</f>
        <v/>
      </c>
      <c r="B39" s="14">
        <f>IF(A39="","",VLOOKUP(A39,StaffTbl,2,FALSE))</f>
        <v/>
      </c>
      <c r="D39" s="9" t="n"/>
      <c r="E39" s="9" t="n"/>
      <c r="F39" s="9" t="n"/>
      <c r="G39" s="9" t="n"/>
      <c r="H39" s="9" t="n"/>
      <c r="I39" s="9" t="n"/>
      <c r="J39" s="9" t="n"/>
      <c r="K39" s="14">
        <f>IF($A39="","",SUMPRODUCT(SUMIF(ShiftCode,D39:J39,ShiftHours)))</f>
        <v/>
      </c>
      <c r="L39" s="25">
        <f>IF($A39="","",IF(K39&gt;OT_Threshold,"OVER",""))</f>
        <v/>
      </c>
      <c r="M39" s="14">
        <f>IF($A39="","",MAX(R39:X39))</f>
        <v/>
      </c>
      <c r="N39" s="25">
        <f>IF($A39="","",IF(M39&gt;Max_Consecutive,"OVER",""))</f>
        <v/>
      </c>
      <c r="O39" s="14">
        <f>IF($A39="","",IF(MIN(Z39:AE39)=999,"",MIN(Z39:AE39)))</f>
        <v/>
      </c>
      <c r="P39" s="25">
        <f>IF($A39="","",IF(AND(O39&lt;&gt;"",O39&lt;Rest_Hours),"SHORT",""))</f>
        <v/>
      </c>
      <c r="Q39" s="25">
        <f>IF($A39="","",IF(SUM(AG39:AM39)&gt;0,"CHECK",""))</f>
        <v/>
      </c>
      <c r="R39">
        <f>IF(SUMIF(ShiftCode,D39,ShiftHours)&gt;0,1,0)</f>
        <v/>
      </c>
      <c r="S39">
        <f>IF(SUMIF(ShiftCode,E39,ShiftHours)&gt;0,R39+1,0)</f>
        <v/>
      </c>
      <c r="T39">
        <f>IF(SUMIF(ShiftCode,F39,ShiftHours)&gt;0,S39+1,0)</f>
        <v/>
      </c>
      <c r="U39">
        <f>IF(SUMIF(ShiftCode,G39,ShiftHours)&gt;0,T39+1,0)</f>
        <v/>
      </c>
      <c r="V39">
        <f>IF(SUMIF(ShiftCode,H39,ShiftHours)&gt;0,U39+1,0)</f>
        <v/>
      </c>
      <c r="W39">
        <f>IF(SUMIF(ShiftCode,I39,ShiftHours)&gt;0,V39+1,0)</f>
        <v/>
      </c>
      <c r="X39">
        <f>IF(SUMIF(ShiftCode,J39,ShiftHours)&gt;0,W39+1,0)</f>
        <v/>
      </c>
      <c r="Z39">
        <f>IF(AND(SUMIF(ShiftCode,D39,ShiftHours)&gt;0,SUMIF(ShiftCode,E39,ShiftHours)&gt;0),24+VLOOKUP(E39,ShiftFull,5,FALSE)-VLOOKUP(D39,ShiftFull,6,FALSE),999)</f>
        <v/>
      </c>
      <c r="AA39">
        <f>IF(AND(SUMIF(ShiftCode,E39,ShiftHours)&gt;0,SUMIF(ShiftCode,F39,ShiftHours)&gt;0),24+VLOOKUP(F39,ShiftFull,5,FALSE)-VLOOKUP(E39,ShiftFull,6,FALSE),999)</f>
        <v/>
      </c>
      <c r="AB39">
        <f>IF(AND(SUMIF(ShiftCode,F39,ShiftHours)&gt;0,SUMIF(ShiftCode,G39,ShiftHours)&gt;0),24+VLOOKUP(G39,ShiftFull,5,FALSE)-VLOOKUP(F39,ShiftFull,6,FALSE),999)</f>
        <v/>
      </c>
      <c r="AC39">
        <f>IF(AND(SUMIF(ShiftCode,G39,ShiftHours)&gt;0,SUMIF(ShiftCode,H39,ShiftHours)&gt;0),24+VLOOKUP(H39,ShiftFull,5,FALSE)-VLOOKUP(G39,ShiftFull,6,FALSE),999)</f>
        <v/>
      </c>
      <c r="AD39">
        <f>IF(AND(SUMIF(ShiftCode,H39,ShiftHours)&gt;0,SUMIF(ShiftCode,I39,ShiftHours)&gt;0),24+VLOOKUP(I39,ShiftFull,5,FALSE)-VLOOKUP(H39,ShiftFull,6,FALSE),999)</f>
        <v/>
      </c>
      <c r="AE39">
        <f>IF(AND(SUMIF(ShiftCode,I39,ShiftHours)&gt;0,SUMIF(ShiftCode,J39,ShiftHours)&gt;0),24+VLOOKUP(J39,ShiftFull,5,FALSE)-VLOOKUP(I39,ShiftFull,6,FALSE),999)</f>
        <v/>
      </c>
      <c r="AG39">
        <f>IF(AND(SUMIF(ShiftCode,D39,ShiftHours)&gt;0,SUMPRODUCT((Leave!$A$2:$A$20=$A39)*(Leave!$B$2:$B$20&lt;=D$4)*(Leave!$C$2:$C$20&gt;=D$4))&gt;0),1,0)</f>
        <v/>
      </c>
      <c r="AH39">
        <f>IF(AND(SUMIF(ShiftCode,E39,ShiftHours)&gt;0,SUMPRODUCT((Leave!$A$2:$A$20=$A39)*(Leave!$B$2:$B$20&lt;=E$4)*(Leave!$C$2:$C$20&gt;=E$4))&gt;0),1,0)</f>
        <v/>
      </c>
      <c r="AI39">
        <f>IF(AND(SUMIF(ShiftCode,F39,ShiftHours)&gt;0,SUMPRODUCT((Leave!$A$2:$A$20=$A39)*(Leave!$B$2:$B$20&lt;=F$4)*(Leave!$C$2:$C$20&gt;=F$4))&gt;0),1,0)</f>
        <v/>
      </c>
      <c r="AJ39">
        <f>IF(AND(SUMIF(ShiftCode,G39,ShiftHours)&gt;0,SUMPRODUCT((Leave!$A$2:$A$20=$A39)*(Leave!$B$2:$B$20&lt;=G$4)*(Leave!$C$2:$C$20&gt;=G$4))&gt;0),1,0)</f>
        <v/>
      </c>
      <c r="AK39">
        <f>IF(AND(SUMIF(ShiftCode,H39,ShiftHours)&gt;0,SUMPRODUCT((Leave!$A$2:$A$20=$A39)*(Leave!$B$2:$B$20&lt;=H$4)*(Leave!$C$2:$C$20&gt;=H$4))&gt;0),1,0)</f>
        <v/>
      </c>
      <c r="AL39">
        <f>IF(AND(SUMIF(ShiftCode,I39,ShiftHours)&gt;0,SUMPRODUCT((Leave!$A$2:$A$20=$A39)*(Leave!$B$2:$B$20&lt;=I$4)*(Leave!$C$2:$C$20&gt;=I$4))&gt;0),1,0)</f>
        <v/>
      </c>
      <c r="AM39">
        <f>IF(AND(SUMIF(ShiftCode,J39,ShiftHours)&gt;0,SUMPRODUCT((Leave!$A$2:$A$20=$A39)*(Leave!$B$2:$B$20&lt;=J$4)*(Leave!$C$2:$C$20&gt;=J$4))&gt;0),1,0)</f>
        <v/>
      </c>
    </row>
    <row r="40">
      <c r="A40" s="15">
        <f>IF(Staff!A30="","",Staff!A30)</f>
        <v/>
      </c>
      <c r="B40" s="14">
        <f>IF(A40="","",VLOOKUP(A40,StaffTbl,2,FALSE))</f>
        <v/>
      </c>
      <c r="D40" s="9" t="n"/>
      <c r="E40" s="9" t="n"/>
      <c r="F40" s="9" t="n"/>
      <c r="G40" s="9" t="n"/>
      <c r="H40" s="9" t="n"/>
      <c r="I40" s="9" t="n"/>
      <c r="J40" s="9" t="n"/>
      <c r="K40" s="14">
        <f>IF($A40="","",SUMPRODUCT(SUMIF(ShiftCode,D40:J40,ShiftHours)))</f>
        <v/>
      </c>
      <c r="L40" s="25">
        <f>IF($A40="","",IF(K40&gt;OT_Threshold,"OVER",""))</f>
        <v/>
      </c>
      <c r="M40" s="14">
        <f>IF($A40="","",MAX(R40:X40))</f>
        <v/>
      </c>
      <c r="N40" s="25">
        <f>IF($A40="","",IF(M40&gt;Max_Consecutive,"OVER",""))</f>
        <v/>
      </c>
      <c r="O40" s="14">
        <f>IF($A40="","",IF(MIN(Z40:AE40)=999,"",MIN(Z40:AE40)))</f>
        <v/>
      </c>
      <c r="P40" s="25">
        <f>IF($A40="","",IF(AND(O40&lt;&gt;"",O40&lt;Rest_Hours),"SHORT",""))</f>
        <v/>
      </c>
      <c r="Q40" s="25">
        <f>IF($A40="","",IF(SUM(AG40:AM40)&gt;0,"CHECK",""))</f>
        <v/>
      </c>
      <c r="R40">
        <f>IF(SUMIF(ShiftCode,D40,ShiftHours)&gt;0,1,0)</f>
        <v/>
      </c>
      <c r="S40">
        <f>IF(SUMIF(ShiftCode,E40,ShiftHours)&gt;0,R40+1,0)</f>
        <v/>
      </c>
      <c r="T40">
        <f>IF(SUMIF(ShiftCode,F40,ShiftHours)&gt;0,S40+1,0)</f>
        <v/>
      </c>
      <c r="U40">
        <f>IF(SUMIF(ShiftCode,G40,ShiftHours)&gt;0,T40+1,0)</f>
        <v/>
      </c>
      <c r="V40">
        <f>IF(SUMIF(ShiftCode,H40,ShiftHours)&gt;0,U40+1,0)</f>
        <v/>
      </c>
      <c r="W40">
        <f>IF(SUMIF(ShiftCode,I40,ShiftHours)&gt;0,V40+1,0)</f>
        <v/>
      </c>
      <c r="X40">
        <f>IF(SUMIF(ShiftCode,J40,ShiftHours)&gt;0,W40+1,0)</f>
        <v/>
      </c>
      <c r="Z40">
        <f>IF(AND(SUMIF(ShiftCode,D40,ShiftHours)&gt;0,SUMIF(ShiftCode,E40,ShiftHours)&gt;0),24+VLOOKUP(E40,ShiftFull,5,FALSE)-VLOOKUP(D40,ShiftFull,6,FALSE),999)</f>
        <v/>
      </c>
      <c r="AA40">
        <f>IF(AND(SUMIF(ShiftCode,E40,ShiftHours)&gt;0,SUMIF(ShiftCode,F40,ShiftHours)&gt;0),24+VLOOKUP(F40,ShiftFull,5,FALSE)-VLOOKUP(E40,ShiftFull,6,FALSE),999)</f>
        <v/>
      </c>
      <c r="AB40">
        <f>IF(AND(SUMIF(ShiftCode,F40,ShiftHours)&gt;0,SUMIF(ShiftCode,G40,ShiftHours)&gt;0),24+VLOOKUP(G40,ShiftFull,5,FALSE)-VLOOKUP(F40,ShiftFull,6,FALSE),999)</f>
        <v/>
      </c>
      <c r="AC40">
        <f>IF(AND(SUMIF(ShiftCode,G40,ShiftHours)&gt;0,SUMIF(ShiftCode,H40,ShiftHours)&gt;0),24+VLOOKUP(H40,ShiftFull,5,FALSE)-VLOOKUP(G40,ShiftFull,6,FALSE),999)</f>
        <v/>
      </c>
      <c r="AD40">
        <f>IF(AND(SUMIF(ShiftCode,H40,ShiftHours)&gt;0,SUMIF(ShiftCode,I40,ShiftHours)&gt;0),24+VLOOKUP(I40,ShiftFull,5,FALSE)-VLOOKUP(H40,ShiftFull,6,FALSE),999)</f>
        <v/>
      </c>
      <c r="AE40">
        <f>IF(AND(SUMIF(ShiftCode,I40,ShiftHours)&gt;0,SUMIF(ShiftCode,J40,ShiftHours)&gt;0),24+VLOOKUP(J40,ShiftFull,5,FALSE)-VLOOKUP(I40,ShiftFull,6,FALSE),999)</f>
        <v/>
      </c>
      <c r="AG40">
        <f>IF(AND(SUMIF(ShiftCode,D40,ShiftHours)&gt;0,SUMPRODUCT((Leave!$A$2:$A$20=$A40)*(Leave!$B$2:$B$20&lt;=D$4)*(Leave!$C$2:$C$20&gt;=D$4))&gt;0),1,0)</f>
        <v/>
      </c>
      <c r="AH40">
        <f>IF(AND(SUMIF(ShiftCode,E40,ShiftHours)&gt;0,SUMPRODUCT((Leave!$A$2:$A$20=$A40)*(Leave!$B$2:$B$20&lt;=E$4)*(Leave!$C$2:$C$20&gt;=E$4))&gt;0),1,0)</f>
        <v/>
      </c>
      <c r="AI40">
        <f>IF(AND(SUMIF(ShiftCode,F40,ShiftHours)&gt;0,SUMPRODUCT((Leave!$A$2:$A$20=$A40)*(Leave!$B$2:$B$20&lt;=F$4)*(Leave!$C$2:$C$20&gt;=F$4))&gt;0),1,0)</f>
        <v/>
      </c>
      <c r="AJ40">
        <f>IF(AND(SUMIF(ShiftCode,G40,ShiftHours)&gt;0,SUMPRODUCT((Leave!$A$2:$A$20=$A40)*(Leave!$B$2:$B$20&lt;=G$4)*(Leave!$C$2:$C$20&gt;=G$4))&gt;0),1,0)</f>
        <v/>
      </c>
      <c r="AK40">
        <f>IF(AND(SUMIF(ShiftCode,H40,ShiftHours)&gt;0,SUMPRODUCT((Leave!$A$2:$A$20=$A40)*(Leave!$B$2:$B$20&lt;=H$4)*(Leave!$C$2:$C$20&gt;=H$4))&gt;0),1,0)</f>
        <v/>
      </c>
      <c r="AL40">
        <f>IF(AND(SUMIF(ShiftCode,I40,ShiftHours)&gt;0,SUMPRODUCT((Leave!$A$2:$A$20=$A40)*(Leave!$B$2:$B$20&lt;=I$4)*(Leave!$C$2:$C$20&gt;=I$4))&gt;0),1,0)</f>
        <v/>
      </c>
      <c r="AM40">
        <f>IF(AND(SUMIF(ShiftCode,J40,ShiftHours)&gt;0,SUMPRODUCT((Leave!$A$2:$A$20=$A40)*(Leave!$B$2:$B$20&lt;=J$4)*(Leave!$C$2:$C$20&gt;=J$4))&gt;0),1,0)</f>
        <v/>
      </c>
    </row>
    <row r="41">
      <c r="A41" s="15">
        <f>IF(Staff!A31="","",Staff!A31)</f>
        <v/>
      </c>
      <c r="B41" s="14">
        <f>IF(A41="","",VLOOKUP(A41,StaffTbl,2,FALSE))</f>
        <v/>
      </c>
      <c r="D41" s="9" t="n"/>
      <c r="E41" s="9" t="n"/>
      <c r="F41" s="9" t="n"/>
      <c r="G41" s="9" t="n"/>
      <c r="H41" s="9" t="n"/>
      <c r="I41" s="9" t="n"/>
      <c r="J41" s="9" t="n"/>
      <c r="K41" s="14">
        <f>IF($A41="","",SUMPRODUCT(SUMIF(ShiftCode,D41:J41,ShiftHours)))</f>
        <v/>
      </c>
      <c r="L41" s="25">
        <f>IF($A41="","",IF(K41&gt;OT_Threshold,"OVER",""))</f>
        <v/>
      </c>
      <c r="M41" s="14">
        <f>IF($A41="","",MAX(R41:X41))</f>
        <v/>
      </c>
      <c r="N41" s="25">
        <f>IF($A41="","",IF(M41&gt;Max_Consecutive,"OVER",""))</f>
        <v/>
      </c>
      <c r="O41" s="14">
        <f>IF($A41="","",IF(MIN(Z41:AE41)=999,"",MIN(Z41:AE41)))</f>
        <v/>
      </c>
      <c r="P41" s="25">
        <f>IF($A41="","",IF(AND(O41&lt;&gt;"",O41&lt;Rest_Hours),"SHORT",""))</f>
        <v/>
      </c>
      <c r="Q41" s="25">
        <f>IF($A41="","",IF(SUM(AG41:AM41)&gt;0,"CHECK",""))</f>
        <v/>
      </c>
      <c r="R41">
        <f>IF(SUMIF(ShiftCode,D41,ShiftHours)&gt;0,1,0)</f>
        <v/>
      </c>
      <c r="S41">
        <f>IF(SUMIF(ShiftCode,E41,ShiftHours)&gt;0,R41+1,0)</f>
        <v/>
      </c>
      <c r="T41">
        <f>IF(SUMIF(ShiftCode,F41,ShiftHours)&gt;0,S41+1,0)</f>
        <v/>
      </c>
      <c r="U41">
        <f>IF(SUMIF(ShiftCode,G41,ShiftHours)&gt;0,T41+1,0)</f>
        <v/>
      </c>
      <c r="V41">
        <f>IF(SUMIF(ShiftCode,H41,ShiftHours)&gt;0,U41+1,0)</f>
        <v/>
      </c>
      <c r="W41">
        <f>IF(SUMIF(ShiftCode,I41,ShiftHours)&gt;0,V41+1,0)</f>
        <v/>
      </c>
      <c r="X41">
        <f>IF(SUMIF(ShiftCode,J41,ShiftHours)&gt;0,W41+1,0)</f>
        <v/>
      </c>
      <c r="Z41">
        <f>IF(AND(SUMIF(ShiftCode,D41,ShiftHours)&gt;0,SUMIF(ShiftCode,E41,ShiftHours)&gt;0),24+VLOOKUP(E41,ShiftFull,5,FALSE)-VLOOKUP(D41,ShiftFull,6,FALSE),999)</f>
        <v/>
      </c>
      <c r="AA41">
        <f>IF(AND(SUMIF(ShiftCode,E41,ShiftHours)&gt;0,SUMIF(ShiftCode,F41,ShiftHours)&gt;0),24+VLOOKUP(F41,ShiftFull,5,FALSE)-VLOOKUP(E41,ShiftFull,6,FALSE),999)</f>
        <v/>
      </c>
      <c r="AB41">
        <f>IF(AND(SUMIF(ShiftCode,F41,ShiftHours)&gt;0,SUMIF(ShiftCode,G41,ShiftHours)&gt;0),24+VLOOKUP(G41,ShiftFull,5,FALSE)-VLOOKUP(F41,ShiftFull,6,FALSE),999)</f>
        <v/>
      </c>
      <c r="AC41">
        <f>IF(AND(SUMIF(ShiftCode,G41,ShiftHours)&gt;0,SUMIF(ShiftCode,H41,ShiftHours)&gt;0),24+VLOOKUP(H41,ShiftFull,5,FALSE)-VLOOKUP(G41,ShiftFull,6,FALSE),999)</f>
        <v/>
      </c>
      <c r="AD41">
        <f>IF(AND(SUMIF(ShiftCode,H41,ShiftHours)&gt;0,SUMIF(ShiftCode,I41,ShiftHours)&gt;0),24+VLOOKUP(I41,ShiftFull,5,FALSE)-VLOOKUP(H41,ShiftFull,6,FALSE),999)</f>
        <v/>
      </c>
      <c r="AE41">
        <f>IF(AND(SUMIF(ShiftCode,I41,ShiftHours)&gt;0,SUMIF(ShiftCode,J41,ShiftHours)&gt;0),24+VLOOKUP(J41,ShiftFull,5,FALSE)-VLOOKUP(I41,ShiftFull,6,FALSE),999)</f>
        <v/>
      </c>
      <c r="AG41">
        <f>IF(AND(SUMIF(ShiftCode,D41,ShiftHours)&gt;0,SUMPRODUCT((Leave!$A$2:$A$20=$A41)*(Leave!$B$2:$B$20&lt;=D$4)*(Leave!$C$2:$C$20&gt;=D$4))&gt;0),1,0)</f>
        <v/>
      </c>
      <c r="AH41">
        <f>IF(AND(SUMIF(ShiftCode,E41,ShiftHours)&gt;0,SUMPRODUCT((Leave!$A$2:$A$20=$A41)*(Leave!$B$2:$B$20&lt;=E$4)*(Leave!$C$2:$C$20&gt;=E$4))&gt;0),1,0)</f>
        <v/>
      </c>
      <c r="AI41">
        <f>IF(AND(SUMIF(ShiftCode,F41,ShiftHours)&gt;0,SUMPRODUCT((Leave!$A$2:$A$20=$A41)*(Leave!$B$2:$B$20&lt;=F$4)*(Leave!$C$2:$C$20&gt;=F$4))&gt;0),1,0)</f>
        <v/>
      </c>
      <c r="AJ41">
        <f>IF(AND(SUMIF(ShiftCode,G41,ShiftHours)&gt;0,SUMPRODUCT((Leave!$A$2:$A$20=$A41)*(Leave!$B$2:$B$20&lt;=G$4)*(Leave!$C$2:$C$20&gt;=G$4))&gt;0),1,0)</f>
        <v/>
      </c>
      <c r="AK41">
        <f>IF(AND(SUMIF(ShiftCode,H41,ShiftHours)&gt;0,SUMPRODUCT((Leave!$A$2:$A$20=$A41)*(Leave!$B$2:$B$20&lt;=H$4)*(Leave!$C$2:$C$20&gt;=H$4))&gt;0),1,0)</f>
        <v/>
      </c>
      <c r="AL41">
        <f>IF(AND(SUMIF(ShiftCode,I41,ShiftHours)&gt;0,SUMPRODUCT((Leave!$A$2:$A$20=$A41)*(Leave!$B$2:$B$20&lt;=I$4)*(Leave!$C$2:$C$20&gt;=I$4))&gt;0),1,0)</f>
        <v/>
      </c>
      <c r="AM41">
        <f>IF(AND(SUMIF(ShiftCode,J41,ShiftHours)&gt;0,SUMPRODUCT((Leave!$A$2:$A$20=$A41)*(Leave!$B$2:$B$20&lt;=J$4)*(Leave!$C$2:$C$20&gt;=J$4))&gt;0),1,0)</f>
        <v/>
      </c>
    </row>
    <row r="43">
      <c r="A43" s="20" t="inlineStr">
        <is>
          <t>Assigned RN - Day</t>
        </is>
      </c>
      <c r="D43" s="14">
        <f>SUMPRODUCT(($B$12:$B$41="RN")*(COUNTIF(DayCodes,D12:D41)&gt;0))</f>
        <v/>
      </c>
      <c r="E43" s="14">
        <f>SUMPRODUCT(($B$12:$B$41="RN")*(COUNTIF(DayCodes,E12:E41)&gt;0))</f>
        <v/>
      </c>
      <c r="F43" s="14">
        <f>SUMPRODUCT(($B$12:$B$41="RN")*(COUNTIF(DayCodes,F12:F41)&gt;0))</f>
        <v/>
      </c>
      <c r="G43" s="14">
        <f>SUMPRODUCT(($B$12:$B$41="RN")*(COUNTIF(DayCodes,G12:G41)&gt;0))</f>
        <v/>
      </c>
      <c r="H43" s="14">
        <f>SUMPRODUCT(($B$12:$B$41="RN")*(COUNTIF(DayCodes,H12:H41)&gt;0))</f>
        <v/>
      </c>
      <c r="I43" s="14">
        <f>SUMPRODUCT(($B$12:$B$41="RN")*(COUNTIF(DayCodes,I12:I41)&gt;0))</f>
        <v/>
      </c>
      <c r="J43" s="14">
        <f>SUMPRODUCT(($B$12:$B$41="RN")*(COUNTIF(DayCodes,J12:J41)&gt;0))</f>
        <v/>
      </c>
    </row>
    <row r="44">
      <c r="A44" s="20" t="inlineStr">
        <is>
          <t>Assigned RN - Night</t>
        </is>
      </c>
      <c r="D44" s="14">
        <f>SUMPRODUCT(($B$12:$B$41="RN")*(COUNTIF(NightCodes,D12:D41)&gt;0))</f>
        <v/>
      </c>
      <c r="E44" s="14">
        <f>SUMPRODUCT(($B$12:$B$41="RN")*(COUNTIF(NightCodes,E12:E41)&gt;0))</f>
        <v/>
      </c>
      <c r="F44" s="14">
        <f>SUMPRODUCT(($B$12:$B$41="RN")*(COUNTIF(NightCodes,F12:F41)&gt;0))</f>
        <v/>
      </c>
      <c r="G44" s="14">
        <f>SUMPRODUCT(($B$12:$B$41="RN")*(COUNTIF(NightCodes,G12:G41)&gt;0))</f>
        <v/>
      </c>
      <c r="H44" s="14">
        <f>SUMPRODUCT(($B$12:$B$41="RN")*(COUNTIF(NightCodes,H12:H41)&gt;0))</f>
        <v/>
      </c>
      <c r="I44" s="14">
        <f>SUMPRODUCT(($B$12:$B$41="RN")*(COUNTIF(NightCodes,I12:I41)&gt;0))</f>
        <v/>
      </c>
      <c r="J44" s="14">
        <f>SUMPRODUCT(($B$12:$B$41="RN")*(COUNTIF(NightCodes,J12:J41)&gt;0))</f>
        <v/>
      </c>
    </row>
    <row r="45">
      <c r="A45" s="26" t="inlineStr">
        <is>
          <t>Coverage gap - Day (RN, + = short)</t>
        </is>
      </c>
      <c r="D45" s="14">
        <f>D6-D43</f>
        <v/>
      </c>
      <c r="E45" s="14">
        <f>E6-E43</f>
        <v/>
      </c>
      <c r="F45" s="14">
        <f>F6-F43</f>
        <v/>
      </c>
      <c r="G45" s="14">
        <f>G6-G43</f>
        <v/>
      </c>
      <c r="H45" s="14">
        <f>H6-H43</f>
        <v/>
      </c>
      <c r="I45" s="14">
        <f>I6-I43</f>
        <v/>
      </c>
      <c r="J45" s="14">
        <f>J6-J43</f>
        <v/>
      </c>
    </row>
    <row r="46">
      <c r="A46" s="26" t="inlineStr">
        <is>
          <t>Coverage gap - Night (RN, + = short)</t>
        </is>
      </c>
      <c r="D46" s="14">
        <f>D7-D44</f>
        <v/>
      </c>
      <c r="E46" s="14">
        <f>E7-E44</f>
        <v/>
      </c>
      <c r="F46" s="14">
        <f>F7-F44</f>
        <v/>
      </c>
      <c r="G46" s="14">
        <f>G7-G44</f>
        <v/>
      </c>
      <c r="H46" s="14">
        <f>H7-H44</f>
        <v/>
      </c>
      <c r="I46" s="14">
        <f>I7-I44</f>
        <v/>
      </c>
      <c r="J46" s="14">
        <f>J7-J44</f>
        <v/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1" formatRows="0" sort="1" password="8610"/>
  <conditionalFormatting sqref="D12:J41">
    <cfRule type="expression" priority="1" dxfId="0">
      <formula>COUNTIF(DayCodes,D12)&gt;0</formula>
    </cfRule>
    <cfRule type="expression" priority="2" dxfId="1">
      <formula>COUNTIF(NightCodes,D12)&gt;0</formula>
    </cfRule>
    <cfRule type="expression" priority="3" dxfId="2">
      <formula>COUNTIF(OffCodes,D12)&gt;0</formula>
    </cfRule>
  </conditionalFormatting>
  <conditionalFormatting sqref="L12:L41">
    <cfRule type="cellIs" priority="4" operator="equal" dxfId="3">
      <formula>"OVER"</formula>
    </cfRule>
  </conditionalFormatting>
  <conditionalFormatting sqref="N12:N41">
    <cfRule type="cellIs" priority="5" operator="equal" dxfId="3">
      <formula>"OVER"</formula>
    </cfRule>
  </conditionalFormatting>
  <conditionalFormatting sqref="P12:P41">
    <cfRule type="cellIs" priority="6" operator="equal" dxfId="3">
      <formula>"SHORT"</formula>
    </cfRule>
  </conditionalFormatting>
  <conditionalFormatting sqref="Q12:Q41">
    <cfRule type="cellIs" priority="7" operator="equal" dxfId="3">
      <formula>"CHECK"</formula>
    </cfRule>
  </conditionalFormatting>
  <conditionalFormatting sqref="D45:J45">
    <cfRule type="cellIs" priority="8" operator="greaterThan" dxfId="3">
      <formula>0</formula>
    </cfRule>
  </conditionalFormatting>
  <conditionalFormatting sqref="D46:J46">
    <cfRule type="cellIs" priority="9" operator="greaterThan" dxfId="3">
      <formula>0</formula>
    </cfRule>
  </conditionalFormatting>
  <conditionalFormatting sqref="D5:J5">
    <cfRule type="expression" priority="10" dxfId="4">
      <formula>D5="HOLIDAY"</formula>
    </cfRule>
  </conditionalFormatting>
  <dataValidations count="2">
    <dataValidation sqref="D12:J41" showDropDown="0" showInputMessage="0" showErrorMessage="0" allowBlank="1" type="list">
      <formula1>ShiftCode</formula1>
    </dataValidation>
    <dataValidation sqref="B1" showDropDown="0" showInputMessage="0" showErrorMessage="0" allowBlank="0" type="list">
      <formula1>UnitList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2026-07-21T06:18:12Z</dcterms:created>
  <dcterms:modified xmlns:dcterms="http://purl.org/dc/terms/" xmlns:xsi="http://www.w3.org/2001/XMLSchema-instance" xsi:type="dcterms:W3CDTF">2026-07-21T06:18:12Z</dcterms:modified>
</cp:coreProperties>
</file>